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юджетные" sheetId="1" r:id="rId1"/>
    <sheet name="автономны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3" i="2"/>
  <c r="I93"/>
  <c r="G93" s="1"/>
  <c r="H93"/>
  <c r="F93"/>
  <c r="E93"/>
  <c r="C93" s="1"/>
  <c r="D93"/>
  <c r="J92"/>
  <c r="I92"/>
  <c r="G92" s="1"/>
  <c r="H92"/>
  <c r="F92"/>
  <c r="E92"/>
  <c r="C92" s="1"/>
  <c r="D92"/>
  <c r="J91"/>
  <c r="I91"/>
  <c r="G91" s="1"/>
  <c r="H91"/>
  <c r="F91"/>
  <c r="E91"/>
  <c r="C91" s="1"/>
  <c r="D91"/>
  <c r="J90"/>
  <c r="I90"/>
  <c r="G90" s="1"/>
  <c r="H90"/>
  <c r="F90"/>
  <c r="E90"/>
  <c r="C90" s="1"/>
  <c r="D90"/>
  <c r="J89"/>
  <c r="I89"/>
  <c r="G89" s="1"/>
  <c r="H89"/>
  <c r="F89"/>
  <c r="E89"/>
  <c r="C89" s="1"/>
  <c r="D89"/>
  <c r="J88"/>
  <c r="I88"/>
  <c r="G88" s="1"/>
  <c r="H88"/>
  <c r="F88"/>
  <c r="E88"/>
  <c r="C88" s="1"/>
  <c r="D88"/>
  <c r="J87"/>
  <c r="I87"/>
  <c r="G87" s="1"/>
  <c r="G86" s="1"/>
  <c r="H87"/>
  <c r="F87"/>
  <c r="E87"/>
  <c r="C87" s="1"/>
  <c r="C86" s="1"/>
  <c r="D87"/>
  <c r="J86"/>
  <c r="I86"/>
  <c r="H86"/>
  <c r="F86"/>
  <c r="E86"/>
  <c r="D86"/>
  <c r="J85"/>
  <c r="I85"/>
  <c r="G85" s="1"/>
  <c r="H85"/>
  <c r="F85"/>
  <c r="E85"/>
  <c r="C85" s="1"/>
  <c r="D85"/>
  <c r="J84"/>
  <c r="I84"/>
  <c r="G84" s="1"/>
  <c r="H84"/>
  <c r="F84"/>
  <c r="E84"/>
  <c r="C84" s="1"/>
  <c r="D84"/>
  <c r="J83"/>
  <c r="I83"/>
  <c r="G83" s="1"/>
  <c r="H83"/>
  <c r="F83"/>
  <c r="E83"/>
  <c r="C83" s="1"/>
  <c r="D83"/>
  <c r="J82"/>
  <c r="I82"/>
  <c r="G82" s="1"/>
  <c r="H82"/>
  <c r="F82"/>
  <c r="E82"/>
  <c r="C82" s="1"/>
  <c r="D82"/>
  <c r="J81"/>
  <c r="I81"/>
  <c r="G81" s="1"/>
  <c r="H81"/>
  <c r="F81"/>
  <c r="E81"/>
  <c r="C81" s="1"/>
  <c r="D81"/>
  <c r="J80"/>
  <c r="I80"/>
  <c r="G80" s="1"/>
  <c r="H80"/>
  <c r="F80"/>
  <c r="E80"/>
  <c r="C80" s="1"/>
  <c r="D80"/>
  <c r="J79"/>
  <c r="I79"/>
  <c r="G79" s="1"/>
  <c r="H79"/>
  <c r="F79"/>
  <c r="E79"/>
  <c r="C79" s="1"/>
  <c r="D79"/>
  <c r="J78"/>
  <c r="I78"/>
  <c r="G78" s="1"/>
  <c r="H78"/>
  <c r="F78"/>
  <c r="E78"/>
  <c r="C78" s="1"/>
  <c r="D78"/>
  <c r="J77"/>
  <c r="I77"/>
  <c r="G77" s="1"/>
  <c r="H77"/>
  <c r="F77"/>
  <c r="E77"/>
  <c r="C77" s="1"/>
  <c r="D77"/>
  <c r="J76"/>
  <c r="I76"/>
  <c r="G76" s="1"/>
  <c r="H76"/>
  <c r="F76"/>
  <c r="E76"/>
  <c r="C76" s="1"/>
  <c r="D76"/>
  <c r="J75"/>
  <c r="I75"/>
  <c r="G75" s="1"/>
  <c r="G74" s="1"/>
  <c r="H75"/>
  <c r="F75"/>
  <c r="E75"/>
  <c r="C75" s="1"/>
  <c r="C74" s="1"/>
  <c r="D75"/>
  <c r="J74"/>
  <c r="I74"/>
  <c r="H74"/>
  <c r="F74"/>
  <c r="E74"/>
  <c r="D74"/>
  <c r="J73"/>
  <c r="I73"/>
  <c r="G73" s="1"/>
  <c r="H73"/>
  <c r="F73"/>
  <c r="E73"/>
  <c r="C73" s="1"/>
  <c r="D73"/>
  <c r="J72"/>
  <c r="I72"/>
  <c r="G72" s="1"/>
  <c r="H72"/>
  <c r="F72"/>
  <c r="E72"/>
  <c r="C72" s="1"/>
  <c r="D72"/>
  <c r="J71"/>
  <c r="I71"/>
  <c r="G71" s="1"/>
  <c r="H71"/>
  <c r="F71"/>
  <c r="E71"/>
  <c r="C71" s="1"/>
  <c r="D71"/>
  <c r="J70"/>
  <c r="I70"/>
  <c r="G70" s="1"/>
  <c r="H70"/>
  <c r="F70"/>
  <c r="E70"/>
  <c r="C70" s="1"/>
  <c r="D70"/>
  <c r="J69"/>
  <c r="I69"/>
  <c r="G69" s="1"/>
  <c r="H69"/>
  <c r="F69"/>
  <c r="E69"/>
  <c r="C69" s="1"/>
  <c r="D69"/>
  <c r="J68"/>
  <c r="I68"/>
  <c r="G68" s="1"/>
  <c r="H68"/>
  <c r="F68"/>
  <c r="E68"/>
  <c r="C68" s="1"/>
  <c r="D68"/>
  <c r="J67"/>
  <c r="I67"/>
  <c r="G67" s="1"/>
  <c r="G66" s="1"/>
  <c r="H67"/>
  <c r="F67"/>
  <c r="E67"/>
  <c r="C67" s="1"/>
  <c r="C66" s="1"/>
  <c r="D67"/>
  <c r="J66"/>
  <c r="I66"/>
  <c r="H66"/>
  <c r="F66"/>
  <c r="E66"/>
  <c r="D66"/>
  <c r="G63"/>
  <c r="C63"/>
  <c r="G62"/>
  <c r="C62"/>
  <c r="G61"/>
  <c r="C61"/>
  <c r="G60"/>
  <c r="C60"/>
  <c r="G59"/>
  <c r="C59"/>
  <c r="G58"/>
  <c r="C58"/>
  <c r="G57"/>
  <c r="C57"/>
  <c r="J56"/>
  <c r="I56"/>
  <c r="H56"/>
  <c r="G56"/>
  <c r="F56"/>
  <c r="E56"/>
  <c r="D56"/>
  <c r="C56"/>
  <c r="G55"/>
  <c r="C55"/>
  <c r="G54"/>
  <c r="C54"/>
  <c r="G53"/>
  <c r="C53"/>
  <c r="G52"/>
  <c r="C52"/>
  <c r="G51"/>
  <c r="C51"/>
  <c r="G50"/>
  <c r="C50"/>
  <c r="G49"/>
  <c r="C49"/>
  <c r="G48"/>
  <c r="C48"/>
  <c r="G47"/>
  <c r="C47"/>
  <c r="G46"/>
  <c r="C46"/>
  <c r="C44" s="1"/>
  <c r="C36" s="1"/>
  <c r="G45"/>
  <c r="C45"/>
  <c r="J44"/>
  <c r="I44"/>
  <c r="I36" s="1"/>
  <c r="H44"/>
  <c r="G44"/>
  <c r="F44"/>
  <c r="E44"/>
  <c r="E36" s="1"/>
  <c r="D44"/>
  <c r="G43"/>
  <c r="C43"/>
  <c r="G42"/>
  <c r="C42"/>
  <c r="G41"/>
  <c r="C41"/>
  <c r="G40"/>
  <c r="C40"/>
  <c r="G39"/>
  <c r="C39"/>
  <c r="G38"/>
  <c r="C38"/>
  <c r="G37"/>
  <c r="C37"/>
  <c r="J36"/>
  <c r="H36"/>
  <c r="G36"/>
  <c r="F36"/>
  <c r="D36"/>
  <c r="G33"/>
  <c r="C33"/>
  <c r="G32"/>
  <c r="C32"/>
  <c r="G31"/>
  <c r="C31"/>
  <c r="G30"/>
  <c r="C30"/>
  <c r="G29"/>
  <c r="C29"/>
  <c r="G28"/>
  <c r="C28"/>
  <c r="C26" s="1"/>
  <c r="G27"/>
  <c r="C27"/>
  <c r="J26"/>
  <c r="I26"/>
  <c r="H26"/>
  <c r="G26"/>
  <c r="F26"/>
  <c r="E26"/>
  <c r="D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J14"/>
  <c r="J6" s="1"/>
  <c r="I14"/>
  <c r="H14"/>
  <c r="G14"/>
  <c r="G6" s="1"/>
  <c r="F14"/>
  <c r="E14"/>
  <c r="D14"/>
  <c r="C14"/>
  <c r="G13"/>
  <c r="C13"/>
  <c r="G12"/>
  <c r="C12"/>
  <c r="G11"/>
  <c r="C11"/>
  <c r="G10"/>
  <c r="C10"/>
  <c r="G9"/>
  <c r="C9"/>
  <c r="G8"/>
  <c r="C8"/>
  <c r="G7"/>
  <c r="C7"/>
  <c r="I6"/>
  <c r="H6"/>
  <c r="F6"/>
  <c r="E6"/>
  <c r="D6"/>
  <c r="P1924" i="1"/>
  <c r="O1924"/>
  <c r="N1924"/>
  <c r="G1924"/>
  <c r="F1924"/>
  <c r="E1924"/>
  <c r="P1923"/>
  <c r="O1923"/>
  <c r="N1923"/>
  <c r="M1923"/>
  <c r="G1923"/>
  <c r="F1923"/>
  <c r="E1923"/>
  <c r="D1923"/>
  <c r="P1922"/>
  <c r="O1922"/>
  <c r="N1922"/>
  <c r="M1922"/>
  <c r="G1922"/>
  <c r="F1922"/>
  <c r="E1922"/>
  <c r="D1922"/>
  <c r="P1921"/>
  <c r="O1921"/>
  <c r="N1921"/>
  <c r="M1921"/>
  <c r="G1921"/>
  <c r="F1921"/>
  <c r="E1921"/>
  <c r="D1921"/>
  <c r="P1920"/>
  <c r="O1920"/>
  <c r="N1920"/>
  <c r="G1920"/>
  <c r="F1920"/>
  <c r="E1920"/>
  <c r="P1919"/>
  <c r="O1919"/>
  <c r="N1919"/>
  <c r="M1919"/>
  <c r="G1919"/>
  <c r="F1919"/>
  <c r="E1919"/>
  <c r="D1919"/>
  <c r="P1918"/>
  <c r="O1918"/>
  <c r="O1917" s="1"/>
  <c r="N1918"/>
  <c r="N1917" s="1"/>
  <c r="M1918"/>
  <c r="G1918"/>
  <c r="G1917" s="1"/>
  <c r="F1918"/>
  <c r="F1917" s="1"/>
  <c r="E1918"/>
  <c r="D1918"/>
  <c r="P1917"/>
  <c r="E1917"/>
  <c r="P1916"/>
  <c r="O1916"/>
  <c r="N1916"/>
  <c r="G1916"/>
  <c r="F1916"/>
  <c r="E1916"/>
  <c r="P1915"/>
  <c r="O1915"/>
  <c r="N1915"/>
  <c r="G1915"/>
  <c r="F1915"/>
  <c r="P1914"/>
  <c r="O1914"/>
  <c r="N1914"/>
  <c r="M1914"/>
  <c r="G1914"/>
  <c r="F1914"/>
  <c r="E1914"/>
  <c r="D1914"/>
  <c r="P1913"/>
  <c r="O1913"/>
  <c r="N1913"/>
  <c r="G1913"/>
  <c r="F1913"/>
  <c r="P1912"/>
  <c r="O1912"/>
  <c r="N1912"/>
  <c r="M1912"/>
  <c r="G1912"/>
  <c r="F1912"/>
  <c r="E1912"/>
  <c r="D1912"/>
  <c r="P1911"/>
  <c r="O1911"/>
  <c r="N1911"/>
  <c r="G1911"/>
  <c r="F1911"/>
  <c r="P1910"/>
  <c r="O1910"/>
  <c r="N1910"/>
  <c r="M1910"/>
  <c r="G1910"/>
  <c r="F1910"/>
  <c r="E1910"/>
  <c r="D1910"/>
  <c r="P1909"/>
  <c r="O1909"/>
  <c r="N1909"/>
  <c r="M1909"/>
  <c r="G1909"/>
  <c r="F1909"/>
  <c r="E1909"/>
  <c r="D1909"/>
  <c r="P1908"/>
  <c r="O1908"/>
  <c r="N1908"/>
  <c r="M1908"/>
  <c r="G1908"/>
  <c r="F1908"/>
  <c r="E1908"/>
  <c r="D1908"/>
  <c r="P1907"/>
  <c r="O1907"/>
  <c r="N1907"/>
  <c r="M1907"/>
  <c r="G1907"/>
  <c r="F1907"/>
  <c r="E1907"/>
  <c r="D1907"/>
  <c r="P1906"/>
  <c r="O1906"/>
  <c r="O1905" s="1"/>
  <c r="N1906"/>
  <c r="N1905" s="1"/>
  <c r="M1906"/>
  <c r="G1906"/>
  <c r="G1905" s="1"/>
  <c r="F1906"/>
  <c r="F1905" s="1"/>
  <c r="E1906"/>
  <c r="D1906"/>
  <c r="P1905"/>
  <c r="M1905"/>
  <c r="E1905"/>
  <c r="D1905"/>
  <c r="P1904"/>
  <c r="O1904"/>
  <c r="N1904"/>
  <c r="M1904"/>
  <c r="G1904"/>
  <c r="F1904"/>
  <c r="E1904"/>
  <c r="D1904"/>
  <c r="P1903"/>
  <c r="O1903"/>
  <c r="N1903"/>
  <c r="M1903"/>
  <c r="G1903"/>
  <c r="F1903"/>
  <c r="E1903"/>
  <c r="D1903"/>
  <c r="P1902"/>
  <c r="O1902"/>
  <c r="N1902"/>
  <c r="G1902"/>
  <c r="F1902"/>
  <c r="P1901"/>
  <c r="O1901"/>
  <c r="N1901"/>
  <c r="M1901"/>
  <c r="G1901"/>
  <c r="F1901"/>
  <c r="D1901"/>
  <c r="P1900"/>
  <c r="O1900"/>
  <c r="N1900"/>
  <c r="M1900"/>
  <c r="G1900"/>
  <c r="F1900"/>
  <c r="E1900"/>
  <c r="D1900"/>
  <c r="P1899"/>
  <c r="O1899"/>
  <c r="N1899"/>
  <c r="G1899"/>
  <c r="F1899"/>
  <c r="P1898"/>
  <c r="O1898"/>
  <c r="O1897" s="1"/>
  <c r="N1898"/>
  <c r="N1897" s="1"/>
  <c r="M1898"/>
  <c r="G1898"/>
  <c r="G1897" s="1"/>
  <c r="E1898"/>
  <c r="D1898"/>
  <c r="P1897"/>
  <c r="K1897"/>
  <c r="J1897"/>
  <c r="I1897"/>
  <c r="H1897"/>
  <c r="L1894"/>
  <c r="C1894"/>
  <c r="L1893"/>
  <c r="C1893"/>
  <c r="L1892"/>
  <c r="C1892"/>
  <c r="L1891"/>
  <c r="C1891"/>
  <c r="L1890"/>
  <c r="C1890"/>
  <c r="L1889"/>
  <c r="C1889"/>
  <c r="L1888"/>
  <c r="C1888"/>
  <c r="C1887" s="1"/>
  <c r="P1887"/>
  <c r="O1887"/>
  <c r="N1887"/>
  <c r="M1887"/>
  <c r="L1887"/>
  <c r="G1887"/>
  <c r="F1887"/>
  <c r="E1887"/>
  <c r="D1887"/>
  <c r="L1886"/>
  <c r="C1886"/>
  <c r="L1885"/>
  <c r="C1885"/>
  <c r="L1884"/>
  <c r="C1884"/>
  <c r="L1883"/>
  <c r="C1883"/>
  <c r="L1882"/>
  <c r="C1882"/>
  <c r="L1881"/>
  <c r="C1881"/>
  <c r="L1880"/>
  <c r="C1880"/>
  <c r="L1879"/>
  <c r="C1879"/>
  <c r="L1878"/>
  <c r="C1878"/>
  <c r="L1877"/>
  <c r="C1877"/>
  <c r="L1876"/>
  <c r="C1876"/>
  <c r="C1875" s="1"/>
  <c r="P1875"/>
  <c r="O1875"/>
  <c r="N1875"/>
  <c r="M1875"/>
  <c r="L1875"/>
  <c r="G1875"/>
  <c r="F1875"/>
  <c r="E1875"/>
  <c r="D1875"/>
  <c r="L1874"/>
  <c r="C1874"/>
  <c r="L1873"/>
  <c r="C1873"/>
  <c r="L1872"/>
  <c r="C1872"/>
  <c r="L1871"/>
  <c r="C1871"/>
  <c r="L1870"/>
  <c r="C1870"/>
  <c r="L1869"/>
  <c r="C1869"/>
  <c r="L1868"/>
  <c r="C1868"/>
  <c r="P1867"/>
  <c r="O1867"/>
  <c r="N1867"/>
  <c r="M1867"/>
  <c r="L1867"/>
  <c r="G1867"/>
  <c r="F1867"/>
  <c r="E1867"/>
  <c r="D1867"/>
  <c r="L1864"/>
  <c r="C1864"/>
  <c r="L1863"/>
  <c r="C1863"/>
  <c r="L1862"/>
  <c r="C1862"/>
  <c r="L1861"/>
  <c r="C1861"/>
  <c r="L1860"/>
  <c r="C1860"/>
  <c r="L1859"/>
  <c r="C1859"/>
  <c r="L1858"/>
  <c r="C1858"/>
  <c r="C1857" s="1"/>
  <c r="P1857"/>
  <c r="O1857"/>
  <c r="N1857"/>
  <c r="M1857"/>
  <c r="L1857"/>
  <c r="G1857"/>
  <c r="F1857"/>
  <c r="E1857"/>
  <c r="D1857"/>
  <c r="L1856"/>
  <c r="C1856"/>
  <c r="L1855"/>
  <c r="C1855"/>
  <c r="L1854"/>
  <c r="C1854"/>
  <c r="L1853"/>
  <c r="C1853"/>
  <c r="L1852"/>
  <c r="C1852"/>
  <c r="L1851"/>
  <c r="C1851"/>
  <c r="L1850"/>
  <c r="C1850"/>
  <c r="L1849"/>
  <c r="C1849"/>
  <c r="L1848"/>
  <c r="C1848"/>
  <c r="L1847"/>
  <c r="C1847"/>
  <c r="L1846"/>
  <c r="C1846"/>
  <c r="C1845" s="1"/>
  <c r="P1845"/>
  <c r="O1845"/>
  <c r="N1845"/>
  <c r="M1845"/>
  <c r="L1845"/>
  <c r="G1845"/>
  <c r="F1845"/>
  <c r="E1845"/>
  <c r="D1845"/>
  <c r="L1844"/>
  <c r="C1844"/>
  <c r="L1843"/>
  <c r="C1843"/>
  <c r="L1842"/>
  <c r="C1842"/>
  <c r="L1841"/>
  <c r="C1841"/>
  <c r="L1840"/>
  <c r="C1840"/>
  <c r="L1839"/>
  <c r="C1839"/>
  <c r="L1838"/>
  <c r="C1838"/>
  <c r="P1837"/>
  <c r="O1837"/>
  <c r="N1837"/>
  <c r="M1837"/>
  <c r="L1837"/>
  <c r="G1837"/>
  <c r="F1837"/>
  <c r="E1837"/>
  <c r="D1837"/>
  <c r="L1834"/>
  <c r="C1834"/>
  <c r="L1833"/>
  <c r="C1833"/>
  <c r="L1832"/>
  <c r="C1832"/>
  <c r="L1831"/>
  <c r="C1831"/>
  <c r="L1830"/>
  <c r="C1830"/>
  <c r="L1829"/>
  <c r="C1829"/>
  <c r="L1828"/>
  <c r="C1828"/>
  <c r="C1827" s="1"/>
  <c r="P1827"/>
  <c r="O1827"/>
  <c r="N1827"/>
  <c r="M1827"/>
  <c r="L1827"/>
  <c r="G1827"/>
  <c r="F1827"/>
  <c r="E1827"/>
  <c r="D1827"/>
  <c r="L1826"/>
  <c r="C1826"/>
  <c r="L1825"/>
  <c r="C1825"/>
  <c r="L1824"/>
  <c r="C1824"/>
  <c r="L1823"/>
  <c r="C1823"/>
  <c r="L1822"/>
  <c r="C1822"/>
  <c r="L1821"/>
  <c r="C1821"/>
  <c r="L1820"/>
  <c r="C1820"/>
  <c r="L1819"/>
  <c r="C1819"/>
  <c r="L1818"/>
  <c r="C1818"/>
  <c r="L1817"/>
  <c r="C1817"/>
  <c r="L1816"/>
  <c r="C1816"/>
  <c r="C1815" s="1"/>
  <c r="P1815"/>
  <c r="O1815"/>
  <c r="N1815"/>
  <c r="M1815"/>
  <c r="L1815"/>
  <c r="G1815"/>
  <c r="F1815"/>
  <c r="E1815"/>
  <c r="D1815"/>
  <c r="L1814"/>
  <c r="C1814"/>
  <c r="L1813"/>
  <c r="C1813"/>
  <c r="L1812"/>
  <c r="C1812"/>
  <c r="L1811"/>
  <c r="C1811"/>
  <c r="L1810"/>
  <c r="C1810"/>
  <c r="L1809"/>
  <c r="C1809"/>
  <c r="L1808"/>
  <c r="C1808"/>
  <c r="C1807" s="1"/>
  <c r="P1807"/>
  <c r="O1807"/>
  <c r="N1807"/>
  <c r="M1807"/>
  <c r="L1807"/>
  <c r="G1807"/>
  <c r="F1807"/>
  <c r="E1807"/>
  <c r="D1807"/>
  <c r="L1804"/>
  <c r="C1804"/>
  <c r="L1803"/>
  <c r="C1803"/>
  <c r="L1802"/>
  <c r="C1802"/>
  <c r="L1801"/>
  <c r="C1801"/>
  <c r="L1800"/>
  <c r="C1800"/>
  <c r="L1799"/>
  <c r="C1799"/>
  <c r="L1798"/>
  <c r="C1798"/>
  <c r="C1797" s="1"/>
  <c r="P1797"/>
  <c r="O1797"/>
  <c r="N1797"/>
  <c r="M1797"/>
  <c r="L1797"/>
  <c r="G1797"/>
  <c r="F1797"/>
  <c r="E1797"/>
  <c r="D1797"/>
  <c r="L1796"/>
  <c r="C1796"/>
  <c r="L1795"/>
  <c r="C1795"/>
  <c r="L1794"/>
  <c r="C1794"/>
  <c r="M1793"/>
  <c r="L1793"/>
  <c r="E1793"/>
  <c r="E1913" s="1"/>
  <c r="D1793"/>
  <c r="C1793"/>
  <c r="L1792"/>
  <c r="C1792"/>
  <c r="L1791"/>
  <c r="E1791"/>
  <c r="C1791" s="1"/>
  <c r="L1790"/>
  <c r="C1790"/>
  <c r="L1789"/>
  <c r="C1789"/>
  <c r="L1788"/>
  <c r="C1788"/>
  <c r="L1787"/>
  <c r="C1787"/>
  <c r="L1786"/>
  <c r="C1786"/>
  <c r="C1785" s="1"/>
  <c r="P1785"/>
  <c r="O1785"/>
  <c r="N1785"/>
  <c r="M1785"/>
  <c r="L1785"/>
  <c r="G1785"/>
  <c r="F1785"/>
  <c r="E1785"/>
  <c r="D1785"/>
  <c r="L1784"/>
  <c r="C1784"/>
  <c r="L1783"/>
  <c r="C1783"/>
  <c r="M1782"/>
  <c r="L1782"/>
  <c r="E1782"/>
  <c r="E1902" s="1"/>
  <c r="D1782"/>
  <c r="L1781"/>
  <c r="C1781"/>
  <c r="L1780"/>
  <c r="C1780"/>
  <c r="L1779"/>
  <c r="E1779"/>
  <c r="C1779" s="1"/>
  <c r="L1778"/>
  <c r="C1778"/>
  <c r="P1777"/>
  <c r="O1777"/>
  <c r="N1777"/>
  <c r="M1777"/>
  <c r="L1777"/>
  <c r="G1777"/>
  <c r="F1777"/>
  <c r="E1777"/>
  <c r="D1777"/>
  <c r="M1774"/>
  <c r="M1924" s="1"/>
  <c r="L1774"/>
  <c r="L1924" s="1"/>
  <c r="D1774"/>
  <c r="D1924" s="1"/>
  <c r="C1774"/>
  <c r="C1924" s="1"/>
  <c r="L1773"/>
  <c r="L1923" s="1"/>
  <c r="C1773"/>
  <c r="C1923" s="1"/>
  <c r="L1772"/>
  <c r="L1922" s="1"/>
  <c r="C1772"/>
  <c r="C1922" s="1"/>
  <c r="L1771"/>
  <c r="L1921" s="1"/>
  <c r="C1771"/>
  <c r="C1921" s="1"/>
  <c r="M1770"/>
  <c r="M1920" s="1"/>
  <c r="L1770"/>
  <c r="L1920" s="1"/>
  <c r="D1770"/>
  <c r="D1920" s="1"/>
  <c r="D1917" s="1"/>
  <c r="C1770"/>
  <c r="C1920" s="1"/>
  <c r="L1769"/>
  <c r="L1919" s="1"/>
  <c r="C1769"/>
  <c r="C1919" s="1"/>
  <c r="L1768"/>
  <c r="L1918" s="1"/>
  <c r="L1917" s="1"/>
  <c r="C1768"/>
  <c r="C1767" s="1"/>
  <c r="P1767"/>
  <c r="O1767"/>
  <c r="N1767"/>
  <c r="L1767"/>
  <c r="G1767"/>
  <c r="F1767"/>
  <c r="E1767"/>
  <c r="D1767"/>
  <c r="M1766"/>
  <c r="M1916" s="1"/>
  <c r="L1766"/>
  <c r="L1916" s="1"/>
  <c r="D1766"/>
  <c r="D1916" s="1"/>
  <c r="C1766"/>
  <c r="C1916" s="1"/>
  <c r="M1765"/>
  <c r="M1915" s="1"/>
  <c r="L1765"/>
  <c r="L1915" s="1"/>
  <c r="E1765"/>
  <c r="E1915" s="1"/>
  <c r="D1765"/>
  <c r="D1915" s="1"/>
  <c r="L1764"/>
  <c r="L1914" s="1"/>
  <c r="C1764"/>
  <c r="C1914" s="1"/>
  <c r="M1763"/>
  <c r="M1913" s="1"/>
  <c r="L1763"/>
  <c r="L1913" s="1"/>
  <c r="D1763"/>
  <c r="D1913" s="1"/>
  <c r="C1763"/>
  <c r="C1913" s="1"/>
  <c r="L1762"/>
  <c r="L1912" s="1"/>
  <c r="C1762"/>
  <c r="C1912" s="1"/>
  <c r="M1761"/>
  <c r="M1911" s="1"/>
  <c r="L1761"/>
  <c r="L1911" s="1"/>
  <c r="D1761"/>
  <c r="D1911" s="1"/>
  <c r="C1761"/>
  <c r="C1911" s="1"/>
  <c r="L1760"/>
  <c r="L1910" s="1"/>
  <c r="C1760"/>
  <c r="C1910" s="1"/>
  <c r="L1759"/>
  <c r="L1909" s="1"/>
  <c r="C1759"/>
  <c r="C1909" s="1"/>
  <c r="L1758"/>
  <c r="L1908" s="1"/>
  <c r="C1758"/>
  <c r="C1908" s="1"/>
  <c r="L1757"/>
  <c r="L1907" s="1"/>
  <c r="C1757"/>
  <c r="C1907" s="1"/>
  <c r="L1756"/>
  <c r="L1755" s="1"/>
  <c r="C1756"/>
  <c r="C1906" s="1"/>
  <c r="P1755"/>
  <c r="O1755"/>
  <c r="N1755"/>
  <c r="N1747" s="1"/>
  <c r="M1755"/>
  <c r="G1755"/>
  <c r="F1755"/>
  <c r="F1747" s="1"/>
  <c r="E1755"/>
  <c r="D1755"/>
  <c r="L1754"/>
  <c r="L1904" s="1"/>
  <c r="C1754"/>
  <c r="C1904" s="1"/>
  <c r="L1753"/>
  <c r="L1903" s="1"/>
  <c r="C1753"/>
  <c r="C1903" s="1"/>
  <c r="M1752"/>
  <c r="M1902" s="1"/>
  <c r="L1752"/>
  <c r="L1902" s="1"/>
  <c r="D1752"/>
  <c r="D1902" s="1"/>
  <c r="C1752"/>
  <c r="L1751"/>
  <c r="L1901" s="1"/>
  <c r="E1751"/>
  <c r="C1751" s="1"/>
  <c r="C1901" s="1"/>
  <c r="L1750"/>
  <c r="L1900" s="1"/>
  <c r="C1750"/>
  <c r="C1900" s="1"/>
  <c r="M1749"/>
  <c r="M1899" s="1"/>
  <c r="L1749"/>
  <c r="L1899" s="1"/>
  <c r="D1749"/>
  <c r="D1899" s="1"/>
  <c r="C1749"/>
  <c r="L1748"/>
  <c r="L1747" s="1"/>
  <c r="F1748"/>
  <c r="F1898" s="1"/>
  <c r="F1897" s="1"/>
  <c r="P1747"/>
  <c r="O1747"/>
  <c r="G1747"/>
  <c r="D1747"/>
  <c r="P1744"/>
  <c r="O1744"/>
  <c r="N1744"/>
  <c r="G1744"/>
  <c r="F1744"/>
  <c r="E1744"/>
  <c r="P1743"/>
  <c r="O1743"/>
  <c r="N1743"/>
  <c r="M1743"/>
  <c r="G1743"/>
  <c r="F1743"/>
  <c r="E1743"/>
  <c r="D1743"/>
  <c r="P1742"/>
  <c r="O1742"/>
  <c r="N1742"/>
  <c r="M1742"/>
  <c r="G1742"/>
  <c r="F1742"/>
  <c r="E1742"/>
  <c r="D1742"/>
  <c r="P1741"/>
  <c r="O1741"/>
  <c r="N1741"/>
  <c r="M1741"/>
  <c r="G1741"/>
  <c r="F1741"/>
  <c r="E1741"/>
  <c r="D1741"/>
  <c r="P1740"/>
  <c r="O1740"/>
  <c r="N1740"/>
  <c r="M1740"/>
  <c r="G1740"/>
  <c r="F1740"/>
  <c r="E1740"/>
  <c r="D1740"/>
  <c r="P1739"/>
  <c r="O1739"/>
  <c r="N1739"/>
  <c r="M1739"/>
  <c r="G1739"/>
  <c r="F1739"/>
  <c r="E1739"/>
  <c r="D1739"/>
  <c r="P1738"/>
  <c r="O1738"/>
  <c r="N1738"/>
  <c r="N1737" s="1"/>
  <c r="M1738"/>
  <c r="G1738"/>
  <c r="F1738"/>
  <c r="F1737" s="1"/>
  <c r="E1738"/>
  <c r="E1737" s="1"/>
  <c r="D1738"/>
  <c r="P1737"/>
  <c r="O1737"/>
  <c r="G1737"/>
  <c r="P1736"/>
  <c r="O1736"/>
  <c r="N1736"/>
  <c r="M1736"/>
  <c r="G1736"/>
  <c r="F1736"/>
  <c r="E1736"/>
  <c r="D1736"/>
  <c r="P1735"/>
  <c r="O1735"/>
  <c r="N1735"/>
  <c r="M1735"/>
  <c r="G1735"/>
  <c r="F1735"/>
  <c r="D1735"/>
  <c r="P1734"/>
  <c r="O1734"/>
  <c r="N1734"/>
  <c r="M1734"/>
  <c r="G1734"/>
  <c r="F1734"/>
  <c r="E1734"/>
  <c r="D1734"/>
  <c r="P1733"/>
  <c r="O1733"/>
  <c r="N1733"/>
  <c r="M1733"/>
  <c r="G1733"/>
  <c r="F1733"/>
  <c r="E1733"/>
  <c r="D1733"/>
  <c r="P1732"/>
  <c r="O1732"/>
  <c r="N1732"/>
  <c r="M1732"/>
  <c r="G1732"/>
  <c r="F1732"/>
  <c r="E1732"/>
  <c r="D1732"/>
  <c r="P1731"/>
  <c r="O1731"/>
  <c r="N1731"/>
  <c r="M1731"/>
  <c r="G1731"/>
  <c r="F1731"/>
  <c r="D1731"/>
  <c r="P1730"/>
  <c r="O1730"/>
  <c r="N1730"/>
  <c r="M1730"/>
  <c r="G1730"/>
  <c r="F1730"/>
  <c r="E1730"/>
  <c r="D1730"/>
  <c r="P1729"/>
  <c r="O1729"/>
  <c r="N1729"/>
  <c r="M1729"/>
  <c r="G1729"/>
  <c r="F1729"/>
  <c r="E1729"/>
  <c r="D1729"/>
  <c r="P1728"/>
  <c r="O1728"/>
  <c r="N1728"/>
  <c r="M1728"/>
  <c r="G1728"/>
  <c r="F1728"/>
  <c r="E1728"/>
  <c r="D1728"/>
  <c r="P1727"/>
  <c r="O1727"/>
  <c r="N1727"/>
  <c r="M1727"/>
  <c r="G1727"/>
  <c r="F1727"/>
  <c r="E1727"/>
  <c r="D1727"/>
  <c r="P1726"/>
  <c r="O1726"/>
  <c r="N1726"/>
  <c r="N1725" s="1"/>
  <c r="M1726"/>
  <c r="M1725" s="1"/>
  <c r="G1726"/>
  <c r="F1726"/>
  <c r="F1725" s="1"/>
  <c r="E1726"/>
  <c r="E1725" s="1"/>
  <c r="D1726"/>
  <c r="P1725"/>
  <c r="O1725"/>
  <c r="G1725"/>
  <c r="D1725"/>
  <c r="P1724"/>
  <c r="O1724"/>
  <c r="N1724"/>
  <c r="M1724"/>
  <c r="G1724"/>
  <c r="F1724"/>
  <c r="E1724"/>
  <c r="D1724"/>
  <c r="P1723"/>
  <c r="O1723"/>
  <c r="N1723"/>
  <c r="M1723"/>
  <c r="G1723"/>
  <c r="F1723"/>
  <c r="E1723"/>
  <c r="D1723"/>
  <c r="P1722"/>
  <c r="O1722"/>
  <c r="N1722"/>
  <c r="G1722"/>
  <c r="F1722"/>
  <c r="P1721"/>
  <c r="O1721"/>
  <c r="N1721"/>
  <c r="M1721"/>
  <c r="G1721"/>
  <c r="F1721"/>
  <c r="E1721"/>
  <c r="D1721"/>
  <c r="P1720"/>
  <c r="O1720"/>
  <c r="N1720"/>
  <c r="M1720"/>
  <c r="G1720"/>
  <c r="F1720"/>
  <c r="E1720"/>
  <c r="D1720"/>
  <c r="P1719"/>
  <c r="O1719"/>
  <c r="N1719"/>
  <c r="M1719"/>
  <c r="G1719"/>
  <c r="F1719"/>
  <c r="D1719"/>
  <c r="P1718"/>
  <c r="O1718"/>
  <c r="N1718"/>
  <c r="N1717" s="1"/>
  <c r="M1718"/>
  <c r="G1718"/>
  <c r="F1718"/>
  <c r="E1718"/>
  <c r="D1718"/>
  <c r="P1717"/>
  <c r="O1717"/>
  <c r="K1717"/>
  <c r="J1717"/>
  <c r="I1717"/>
  <c r="H1717"/>
  <c r="G1717"/>
  <c r="L1714"/>
  <c r="C1714"/>
  <c r="L1713"/>
  <c r="C1713"/>
  <c r="L1712"/>
  <c r="C1712"/>
  <c r="L1711"/>
  <c r="C1711"/>
  <c r="L1710"/>
  <c r="C1710"/>
  <c r="L1709"/>
  <c r="C1709"/>
  <c r="L1708"/>
  <c r="C1708"/>
  <c r="P1707"/>
  <c r="O1707"/>
  <c r="N1707"/>
  <c r="M1707"/>
  <c r="L1707"/>
  <c r="G1707"/>
  <c r="F1707"/>
  <c r="E1707"/>
  <c r="D1707"/>
  <c r="C1707"/>
  <c r="L1706"/>
  <c r="C1706"/>
  <c r="L1705"/>
  <c r="C1705"/>
  <c r="L1704"/>
  <c r="C1704"/>
  <c r="L1703"/>
  <c r="C1703"/>
  <c r="L1702"/>
  <c r="C1702"/>
  <c r="L1701"/>
  <c r="C1701"/>
  <c r="L1700"/>
  <c r="C1700"/>
  <c r="L1699"/>
  <c r="C1699"/>
  <c r="L1698"/>
  <c r="C1698"/>
  <c r="L1697"/>
  <c r="C1697"/>
  <c r="L1696"/>
  <c r="C1696"/>
  <c r="P1695"/>
  <c r="O1695"/>
  <c r="N1695"/>
  <c r="M1695"/>
  <c r="L1695"/>
  <c r="G1695"/>
  <c r="F1695"/>
  <c r="E1695"/>
  <c r="D1695"/>
  <c r="C1695"/>
  <c r="L1694"/>
  <c r="C1694"/>
  <c r="L1693"/>
  <c r="C1693"/>
  <c r="L1692"/>
  <c r="C1692"/>
  <c r="L1691"/>
  <c r="C1691"/>
  <c r="L1690"/>
  <c r="C1690"/>
  <c r="L1689"/>
  <c r="C1689"/>
  <c r="L1688"/>
  <c r="C1688"/>
  <c r="P1687"/>
  <c r="O1687"/>
  <c r="N1687"/>
  <c r="M1687"/>
  <c r="L1687"/>
  <c r="G1687"/>
  <c r="F1687"/>
  <c r="E1687"/>
  <c r="D1687"/>
  <c r="C1687"/>
  <c r="L1684"/>
  <c r="C1684"/>
  <c r="L1683"/>
  <c r="C1683"/>
  <c r="L1682"/>
  <c r="C1682"/>
  <c r="L1681"/>
  <c r="C1681"/>
  <c r="L1680"/>
  <c r="C1680"/>
  <c r="L1679"/>
  <c r="C1679"/>
  <c r="L1678"/>
  <c r="C1678"/>
  <c r="P1677"/>
  <c r="O1677"/>
  <c r="N1677"/>
  <c r="M1677"/>
  <c r="L1677"/>
  <c r="G1677"/>
  <c r="F1677"/>
  <c r="E1677"/>
  <c r="D1677"/>
  <c r="C1677"/>
  <c r="L1676"/>
  <c r="C1676"/>
  <c r="L1675"/>
  <c r="C1675"/>
  <c r="L1674"/>
  <c r="C1674"/>
  <c r="L1673"/>
  <c r="C1673"/>
  <c r="L1672"/>
  <c r="C1672"/>
  <c r="L1671"/>
  <c r="C1671"/>
  <c r="L1670"/>
  <c r="C1670"/>
  <c r="L1669"/>
  <c r="C1669"/>
  <c r="L1668"/>
  <c r="C1668"/>
  <c r="L1667"/>
  <c r="C1667"/>
  <c r="L1666"/>
  <c r="C1666"/>
  <c r="P1665"/>
  <c r="O1665"/>
  <c r="N1665"/>
  <c r="M1665"/>
  <c r="L1665"/>
  <c r="G1665"/>
  <c r="F1665"/>
  <c r="E1665"/>
  <c r="D1665"/>
  <c r="C1665"/>
  <c r="L1664"/>
  <c r="C1664"/>
  <c r="L1663"/>
  <c r="C1663"/>
  <c r="L1662"/>
  <c r="C1662"/>
  <c r="L1661"/>
  <c r="C1661"/>
  <c r="L1660"/>
  <c r="C1660"/>
  <c r="L1659"/>
  <c r="C1659"/>
  <c r="L1658"/>
  <c r="C1658"/>
  <c r="P1657"/>
  <c r="O1657"/>
  <c r="N1657"/>
  <c r="M1657"/>
  <c r="L1657"/>
  <c r="G1657"/>
  <c r="F1657"/>
  <c r="E1657"/>
  <c r="D1657"/>
  <c r="C1657"/>
  <c r="L1654"/>
  <c r="C1654"/>
  <c r="L1653"/>
  <c r="C1653"/>
  <c r="L1652"/>
  <c r="C1652"/>
  <c r="L1651"/>
  <c r="C1651"/>
  <c r="L1650"/>
  <c r="C1650"/>
  <c r="L1649"/>
  <c r="C1649"/>
  <c r="L1648"/>
  <c r="C1648"/>
  <c r="P1647"/>
  <c r="O1647"/>
  <c r="O1627" s="1"/>
  <c r="N1647"/>
  <c r="M1647"/>
  <c r="L1647"/>
  <c r="G1647"/>
  <c r="G1627" s="1"/>
  <c r="F1647"/>
  <c r="E1647"/>
  <c r="D1647"/>
  <c r="C1647"/>
  <c r="L1646"/>
  <c r="C1646"/>
  <c r="L1645"/>
  <c r="C1645"/>
  <c r="L1644"/>
  <c r="C1644"/>
  <c r="L1643"/>
  <c r="C1643"/>
  <c r="L1642"/>
  <c r="C1642"/>
  <c r="L1641"/>
  <c r="E1641"/>
  <c r="C1641" s="1"/>
  <c r="L1640"/>
  <c r="C1640"/>
  <c r="L1639"/>
  <c r="C1639"/>
  <c r="L1638"/>
  <c r="C1638"/>
  <c r="L1637"/>
  <c r="C1637"/>
  <c r="L1636"/>
  <c r="C1636"/>
  <c r="C1635" s="1"/>
  <c r="P1635"/>
  <c r="O1635"/>
  <c r="N1635"/>
  <c r="M1635"/>
  <c r="L1635"/>
  <c r="G1635"/>
  <c r="F1635"/>
  <c r="E1635"/>
  <c r="D1635"/>
  <c r="L1634"/>
  <c r="C1634"/>
  <c r="L1633"/>
  <c r="C1633"/>
  <c r="L1632"/>
  <c r="C1632"/>
  <c r="L1631"/>
  <c r="C1631"/>
  <c r="L1630"/>
  <c r="C1630"/>
  <c r="L1629"/>
  <c r="C1629"/>
  <c r="L1628"/>
  <c r="C1628"/>
  <c r="C1627" s="1"/>
  <c r="P1627"/>
  <c r="N1627"/>
  <c r="M1627"/>
  <c r="L1627"/>
  <c r="F1627"/>
  <c r="E1627"/>
  <c r="D1627"/>
  <c r="L1624"/>
  <c r="C1624"/>
  <c r="L1623"/>
  <c r="C1623"/>
  <c r="L1622"/>
  <c r="C1622"/>
  <c r="L1621"/>
  <c r="C1621"/>
  <c r="L1620"/>
  <c r="C1620"/>
  <c r="L1619"/>
  <c r="C1619"/>
  <c r="L1618"/>
  <c r="C1618"/>
  <c r="C1617" s="1"/>
  <c r="P1617"/>
  <c r="O1617"/>
  <c r="N1617"/>
  <c r="M1617"/>
  <c r="L1617"/>
  <c r="G1617"/>
  <c r="F1617"/>
  <c r="E1617"/>
  <c r="D1617"/>
  <c r="L1616"/>
  <c r="C1616"/>
  <c r="L1615"/>
  <c r="E1615"/>
  <c r="E1735" s="1"/>
  <c r="C1615"/>
  <c r="L1614"/>
  <c r="C1614"/>
  <c r="L1613"/>
  <c r="C1613"/>
  <c r="L1612"/>
  <c r="C1612"/>
  <c r="L1611"/>
  <c r="C1611"/>
  <c r="L1610"/>
  <c r="C1610"/>
  <c r="L1609"/>
  <c r="C1609"/>
  <c r="L1608"/>
  <c r="C1608"/>
  <c r="L1607"/>
  <c r="C1607"/>
  <c r="L1606"/>
  <c r="L1605" s="1"/>
  <c r="L1597" s="1"/>
  <c r="C1606"/>
  <c r="C1605" s="1"/>
  <c r="C1597" s="1"/>
  <c r="P1605"/>
  <c r="O1605"/>
  <c r="N1605"/>
  <c r="N1597" s="1"/>
  <c r="M1605"/>
  <c r="G1605"/>
  <c r="F1605"/>
  <c r="F1597" s="1"/>
  <c r="E1605"/>
  <c r="E1597" s="1"/>
  <c r="D1605"/>
  <c r="L1604"/>
  <c r="C1604"/>
  <c r="L1603"/>
  <c r="C1603"/>
  <c r="M1602"/>
  <c r="M1597" s="1"/>
  <c r="L1602"/>
  <c r="D1602"/>
  <c r="C1602"/>
  <c r="L1601"/>
  <c r="C1601"/>
  <c r="L1600"/>
  <c r="C1600"/>
  <c r="L1599"/>
  <c r="C1599"/>
  <c r="L1598"/>
  <c r="C1598"/>
  <c r="P1597"/>
  <c r="O1597"/>
  <c r="G1597"/>
  <c r="D1597"/>
  <c r="L1594"/>
  <c r="C1594"/>
  <c r="L1593"/>
  <c r="C1593"/>
  <c r="L1592"/>
  <c r="C1592"/>
  <c r="L1591"/>
  <c r="C1591"/>
  <c r="L1590"/>
  <c r="C1590"/>
  <c r="L1589"/>
  <c r="C1589"/>
  <c r="L1588"/>
  <c r="C1588"/>
  <c r="P1587"/>
  <c r="O1587"/>
  <c r="N1587"/>
  <c r="M1587"/>
  <c r="L1587"/>
  <c r="G1587"/>
  <c r="F1587"/>
  <c r="E1587"/>
  <c r="D1587"/>
  <c r="C1587"/>
  <c r="L1586"/>
  <c r="C1586"/>
  <c r="L1585"/>
  <c r="C1585"/>
  <c r="L1584"/>
  <c r="C1584"/>
  <c r="L1583"/>
  <c r="C1583"/>
  <c r="L1582"/>
  <c r="C1582"/>
  <c r="L1581"/>
  <c r="C1581"/>
  <c r="L1580"/>
  <c r="C1580"/>
  <c r="L1579"/>
  <c r="C1579"/>
  <c r="L1578"/>
  <c r="C1578"/>
  <c r="L1577"/>
  <c r="C1577"/>
  <c r="L1576"/>
  <c r="C1576"/>
  <c r="P1575"/>
  <c r="O1575"/>
  <c r="N1575"/>
  <c r="M1575"/>
  <c r="L1575"/>
  <c r="G1575"/>
  <c r="F1575"/>
  <c r="E1575"/>
  <c r="D1575"/>
  <c r="C1575"/>
  <c r="L1574"/>
  <c r="C1574"/>
  <c r="L1573"/>
  <c r="C1573"/>
  <c r="L1572"/>
  <c r="C1572"/>
  <c r="L1571"/>
  <c r="C1571"/>
  <c r="L1570"/>
  <c r="C1570"/>
  <c r="L1569"/>
  <c r="C1569"/>
  <c r="L1568"/>
  <c r="C1568"/>
  <c r="P1567"/>
  <c r="O1567"/>
  <c r="N1567"/>
  <c r="M1567"/>
  <c r="L1567"/>
  <c r="G1567"/>
  <c r="F1567"/>
  <c r="E1567"/>
  <c r="D1567"/>
  <c r="C1567"/>
  <c r="M1564"/>
  <c r="M1744" s="1"/>
  <c r="L1564"/>
  <c r="L1744" s="1"/>
  <c r="D1564"/>
  <c r="D1744" s="1"/>
  <c r="D1737" s="1"/>
  <c r="C1564"/>
  <c r="C1744" s="1"/>
  <c r="L1563"/>
  <c r="L1743" s="1"/>
  <c r="C1563"/>
  <c r="C1743" s="1"/>
  <c r="L1562"/>
  <c r="L1742" s="1"/>
  <c r="C1562"/>
  <c r="C1742" s="1"/>
  <c r="L1561"/>
  <c r="L1741" s="1"/>
  <c r="C1561"/>
  <c r="C1741" s="1"/>
  <c r="L1560"/>
  <c r="L1740" s="1"/>
  <c r="C1560"/>
  <c r="C1740" s="1"/>
  <c r="L1559"/>
  <c r="L1739" s="1"/>
  <c r="C1559"/>
  <c r="C1739" s="1"/>
  <c r="L1558"/>
  <c r="L1738" s="1"/>
  <c r="L1737" s="1"/>
  <c r="C1558"/>
  <c r="C1738" s="1"/>
  <c r="C1737" s="1"/>
  <c r="P1557"/>
  <c r="O1557"/>
  <c r="N1557"/>
  <c r="M1557"/>
  <c r="G1557"/>
  <c r="F1557"/>
  <c r="E1557"/>
  <c r="E1537" s="1"/>
  <c r="L1556"/>
  <c r="L1736" s="1"/>
  <c r="C1556"/>
  <c r="C1736" s="1"/>
  <c r="L1555"/>
  <c r="L1735" s="1"/>
  <c r="C1555"/>
  <c r="C1735" s="1"/>
  <c r="L1554"/>
  <c r="L1734" s="1"/>
  <c r="C1554"/>
  <c r="C1734" s="1"/>
  <c r="L1553"/>
  <c r="L1733" s="1"/>
  <c r="C1553"/>
  <c r="C1733" s="1"/>
  <c r="L1552"/>
  <c r="L1732" s="1"/>
  <c r="C1552"/>
  <c r="C1732" s="1"/>
  <c r="L1551"/>
  <c r="L1731" s="1"/>
  <c r="E1551"/>
  <c r="E1731" s="1"/>
  <c r="C1551"/>
  <c r="C1731" s="1"/>
  <c r="L1550"/>
  <c r="L1730" s="1"/>
  <c r="C1550"/>
  <c r="C1730" s="1"/>
  <c r="L1549"/>
  <c r="L1729" s="1"/>
  <c r="C1549"/>
  <c r="C1729" s="1"/>
  <c r="L1548"/>
  <c r="L1728" s="1"/>
  <c r="C1548"/>
  <c r="C1728" s="1"/>
  <c r="L1547"/>
  <c r="L1727" s="1"/>
  <c r="C1547"/>
  <c r="C1727" s="1"/>
  <c r="L1546"/>
  <c r="L1726" s="1"/>
  <c r="C1546"/>
  <c r="C1726" s="1"/>
  <c r="P1545"/>
  <c r="O1545"/>
  <c r="N1545"/>
  <c r="M1545"/>
  <c r="G1545"/>
  <c r="F1545"/>
  <c r="E1545"/>
  <c r="D1545"/>
  <c r="C1545"/>
  <c r="L1544"/>
  <c r="L1724" s="1"/>
  <c r="C1544"/>
  <c r="C1724" s="1"/>
  <c r="L1543"/>
  <c r="L1723" s="1"/>
  <c r="C1543"/>
  <c r="C1723" s="1"/>
  <c r="M1542"/>
  <c r="M1537" s="1"/>
  <c r="L1542"/>
  <c r="L1722" s="1"/>
  <c r="E1542"/>
  <c r="E1722" s="1"/>
  <c r="D1542"/>
  <c r="D1722" s="1"/>
  <c r="D1717" s="1"/>
  <c r="C1542"/>
  <c r="C1722" s="1"/>
  <c r="L1541"/>
  <c r="L1721" s="1"/>
  <c r="C1541"/>
  <c r="C1721" s="1"/>
  <c r="L1540"/>
  <c r="L1720" s="1"/>
  <c r="C1540"/>
  <c r="C1720" s="1"/>
  <c r="L1539"/>
  <c r="L1719" s="1"/>
  <c r="E1539"/>
  <c r="E1719" s="1"/>
  <c r="C1539"/>
  <c r="C1719" s="1"/>
  <c r="L1538"/>
  <c r="L1718" s="1"/>
  <c r="C1538"/>
  <c r="C1718" s="1"/>
  <c r="P1537"/>
  <c r="O1537"/>
  <c r="N1537"/>
  <c r="G1537"/>
  <c r="F1537"/>
  <c r="P1534"/>
  <c r="O1534"/>
  <c r="N1534"/>
  <c r="G1534"/>
  <c r="F1534"/>
  <c r="P1533"/>
  <c r="O1533"/>
  <c r="N1533"/>
  <c r="M1533"/>
  <c r="G1533"/>
  <c r="F1533"/>
  <c r="E1533"/>
  <c r="D1533"/>
  <c r="P1532"/>
  <c r="O1532"/>
  <c r="N1532"/>
  <c r="G1532"/>
  <c r="F1532"/>
  <c r="E1532"/>
  <c r="P1531"/>
  <c r="O1531"/>
  <c r="N1531"/>
  <c r="M1531"/>
  <c r="G1531"/>
  <c r="F1531"/>
  <c r="E1531"/>
  <c r="D1531"/>
  <c r="P1530"/>
  <c r="O1530"/>
  <c r="N1530"/>
  <c r="M1530"/>
  <c r="G1530"/>
  <c r="F1530"/>
  <c r="E1530"/>
  <c r="D1530"/>
  <c r="P1529"/>
  <c r="O1529"/>
  <c r="N1529"/>
  <c r="G1529"/>
  <c r="F1529"/>
  <c r="E1529"/>
  <c r="P1528"/>
  <c r="P1527" s="1"/>
  <c r="O1528"/>
  <c r="N1528"/>
  <c r="G1528"/>
  <c r="F1528"/>
  <c r="E1528"/>
  <c r="O1527"/>
  <c r="N1527"/>
  <c r="G1527"/>
  <c r="F1527"/>
  <c r="P1526"/>
  <c r="O1526"/>
  <c r="N1526"/>
  <c r="G1526"/>
  <c r="F1526"/>
  <c r="E1526"/>
  <c r="P1525"/>
  <c r="O1525"/>
  <c r="N1525"/>
  <c r="G1525"/>
  <c r="F1525"/>
  <c r="P1524"/>
  <c r="O1524"/>
  <c r="N1524"/>
  <c r="M1524"/>
  <c r="G1524"/>
  <c r="F1524"/>
  <c r="E1524"/>
  <c r="D1524"/>
  <c r="P1523"/>
  <c r="O1523"/>
  <c r="N1523"/>
  <c r="G1523"/>
  <c r="F1523"/>
  <c r="P1522"/>
  <c r="O1522"/>
  <c r="N1522"/>
  <c r="M1522"/>
  <c r="G1522"/>
  <c r="F1522"/>
  <c r="E1522"/>
  <c r="D1522"/>
  <c r="P1521"/>
  <c r="O1521"/>
  <c r="N1521"/>
  <c r="G1521"/>
  <c r="F1521"/>
  <c r="P1520"/>
  <c r="O1520"/>
  <c r="N1520"/>
  <c r="M1520"/>
  <c r="G1520"/>
  <c r="F1520"/>
  <c r="E1520"/>
  <c r="D1520"/>
  <c r="P1519"/>
  <c r="O1519"/>
  <c r="N1519"/>
  <c r="G1519"/>
  <c r="F1519"/>
  <c r="E1519"/>
  <c r="P1518"/>
  <c r="O1518"/>
  <c r="N1518"/>
  <c r="G1518"/>
  <c r="F1518"/>
  <c r="P1517"/>
  <c r="O1517"/>
  <c r="N1517"/>
  <c r="M1517"/>
  <c r="G1517"/>
  <c r="F1517"/>
  <c r="E1517"/>
  <c r="D1517"/>
  <c r="P1516"/>
  <c r="P1515" s="1"/>
  <c r="O1516"/>
  <c r="N1516"/>
  <c r="G1516"/>
  <c r="F1516"/>
  <c r="E1516"/>
  <c r="O1515"/>
  <c r="N1515"/>
  <c r="G1515"/>
  <c r="F1515"/>
  <c r="P1514"/>
  <c r="O1514"/>
  <c r="N1514"/>
  <c r="M1514"/>
  <c r="G1514"/>
  <c r="F1514"/>
  <c r="E1514"/>
  <c r="D1514"/>
  <c r="P1513"/>
  <c r="O1513"/>
  <c r="N1513"/>
  <c r="G1513"/>
  <c r="F1513"/>
  <c r="E1513"/>
  <c r="P1512"/>
  <c r="O1512"/>
  <c r="N1512"/>
  <c r="G1512"/>
  <c r="P1511"/>
  <c r="O1511"/>
  <c r="N1511"/>
  <c r="M1511"/>
  <c r="G1511"/>
  <c r="F1511"/>
  <c r="E1511"/>
  <c r="D1511"/>
  <c r="P1510"/>
  <c r="O1510"/>
  <c r="N1510"/>
  <c r="M1510"/>
  <c r="G1510"/>
  <c r="F1510"/>
  <c r="E1510"/>
  <c r="D1510"/>
  <c r="P1509"/>
  <c r="O1509"/>
  <c r="N1509"/>
  <c r="G1509"/>
  <c r="F1509"/>
  <c r="P1508"/>
  <c r="P1507" s="1"/>
  <c r="O1508"/>
  <c r="N1508"/>
  <c r="M1508"/>
  <c r="G1508"/>
  <c r="F1508"/>
  <c r="E1508"/>
  <c r="D1508"/>
  <c r="O1507"/>
  <c r="N1507"/>
  <c r="K1507"/>
  <c r="J1507"/>
  <c r="I1507"/>
  <c r="H1507"/>
  <c r="G1507"/>
  <c r="L1504"/>
  <c r="C1504"/>
  <c r="L1503"/>
  <c r="C1503"/>
  <c r="L1502"/>
  <c r="C1502"/>
  <c r="L1501"/>
  <c r="C1501"/>
  <c r="L1500"/>
  <c r="C1500"/>
  <c r="L1499"/>
  <c r="C1499"/>
  <c r="L1498"/>
  <c r="L1497" s="1"/>
  <c r="C1498"/>
  <c r="P1497"/>
  <c r="O1497"/>
  <c r="N1497"/>
  <c r="M1497"/>
  <c r="G1497"/>
  <c r="F1497"/>
  <c r="E1497"/>
  <c r="D1497"/>
  <c r="C1497"/>
  <c r="L1496"/>
  <c r="C1496"/>
  <c r="L1495"/>
  <c r="C1495"/>
  <c r="L1494"/>
  <c r="C1494"/>
  <c r="L1493"/>
  <c r="C1493"/>
  <c r="L1492"/>
  <c r="C1492"/>
  <c r="L1491"/>
  <c r="C1491"/>
  <c r="L1490"/>
  <c r="C1490"/>
  <c r="L1489"/>
  <c r="C1489"/>
  <c r="L1488"/>
  <c r="C1488"/>
  <c r="L1487"/>
  <c r="C1487"/>
  <c r="L1486"/>
  <c r="L1485" s="1"/>
  <c r="C1486"/>
  <c r="P1485"/>
  <c r="O1485"/>
  <c r="N1485"/>
  <c r="M1485"/>
  <c r="G1485"/>
  <c r="F1485"/>
  <c r="E1485"/>
  <c r="D1485"/>
  <c r="C1485"/>
  <c r="L1484"/>
  <c r="C1484"/>
  <c r="L1483"/>
  <c r="C1483"/>
  <c r="L1482"/>
  <c r="C1482"/>
  <c r="L1481"/>
  <c r="C1481"/>
  <c r="L1480"/>
  <c r="C1480"/>
  <c r="L1479"/>
  <c r="C1479"/>
  <c r="L1478"/>
  <c r="L1477" s="1"/>
  <c r="C1478"/>
  <c r="P1477"/>
  <c r="O1477"/>
  <c r="N1477"/>
  <c r="M1477"/>
  <c r="G1477"/>
  <c r="F1477"/>
  <c r="E1477"/>
  <c r="D1477"/>
  <c r="C1477"/>
  <c r="L1474"/>
  <c r="C1474"/>
  <c r="L1473"/>
  <c r="C1473"/>
  <c r="L1472"/>
  <c r="C1472"/>
  <c r="L1471"/>
  <c r="C1471"/>
  <c r="L1470"/>
  <c r="C1470"/>
  <c r="L1469"/>
  <c r="C1469"/>
  <c r="L1468"/>
  <c r="L1467" s="1"/>
  <c r="C1468"/>
  <c r="P1467"/>
  <c r="O1467"/>
  <c r="N1467"/>
  <c r="M1467"/>
  <c r="G1467"/>
  <c r="F1467"/>
  <c r="E1467"/>
  <c r="D1467"/>
  <c r="C1467"/>
  <c r="L1466"/>
  <c r="C1466"/>
  <c r="L1465"/>
  <c r="C1465"/>
  <c r="L1464"/>
  <c r="C1464"/>
  <c r="L1463"/>
  <c r="C1463"/>
  <c r="L1462"/>
  <c r="C1462"/>
  <c r="L1461"/>
  <c r="C1461"/>
  <c r="L1460"/>
  <c r="C1460"/>
  <c r="L1459"/>
  <c r="C1459"/>
  <c r="L1458"/>
  <c r="C1458"/>
  <c r="L1457"/>
  <c r="C1457"/>
  <c r="L1456"/>
  <c r="L1455" s="1"/>
  <c r="C1456"/>
  <c r="P1455"/>
  <c r="O1455"/>
  <c r="O1447" s="1"/>
  <c r="N1455"/>
  <c r="N1447" s="1"/>
  <c r="M1455"/>
  <c r="G1455"/>
  <c r="G1447" s="1"/>
  <c r="F1455"/>
  <c r="F1447" s="1"/>
  <c r="E1455"/>
  <c r="D1455"/>
  <c r="C1455"/>
  <c r="L1454"/>
  <c r="C1454"/>
  <c r="L1453"/>
  <c r="C1453"/>
  <c r="L1452"/>
  <c r="C1452"/>
  <c r="L1451"/>
  <c r="C1451"/>
  <c r="L1450"/>
  <c r="C1450"/>
  <c r="M1449"/>
  <c r="L1449"/>
  <c r="D1449"/>
  <c r="C1449"/>
  <c r="L1448"/>
  <c r="C1448"/>
  <c r="C1447" s="1"/>
  <c r="P1447"/>
  <c r="M1447"/>
  <c r="E1447"/>
  <c r="D1447"/>
  <c r="M1444"/>
  <c r="L1444"/>
  <c r="D1444"/>
  <c r="C1444"/>
  <c r="L1443"/>
  <c r="C1443"/>
  <c r="L1442"/>
  <c r="C1442"/>
  <c r="L1441"/>
  <c r="C1441"/>
  <c r="L1440"/>
  <c r="C1440"/>
  <c r="M1439"/>
  <c r="M1529" s="1"/>
  <c r="L1439"/>
  <c r="D1439"/>
  <c r="D1529" s="1"/>
  <c r="C1439"/>
  <c r="M1438"/>
  <c r="M1528" s="1"/>
  <c r="L1438"/>
  <c r="L1437" s="1"/>
  <c r="D1438"/>
  <c r="D1528" s="1"/>
  <c r="C1438"/>
  <c r="P1437"/>
  <c r="O1437"/>
  <c r="N1437"/>
  <c r="M1437"/>
  <c r="G1437"/>
  <c r="F1437"/>
  <c r="E1437"/>
  <c r="C1437"/>
  <c r="M1436"/>
  <c r="L1436"/>
  <c r="D1436"/>
  <c r="C1436"/>
  <c r="L1435"/>
  <c r="C1435"/>
  <c r="L1434"/>
  <c r="C1434"/>
  <c r="M1433"/>
  <c r="L1433"/>
  <c r="D1433"/>
  <c r="C1433"/>
  <c r="L1432"/>
  <c r="C1432"/>
  <c r="L1431"/>
  <c r="C1431"/>
  <c r="L1430"/>
  <c r="C1430"/>
  <c r="L1429"/>
  <c r="C1429"/>
  <c r="L1428"/>
  <c r="C1428"/>
  <c r="L1427"/>
  <c r="C1427"/>
  <c r="L1426"/>
  <c r="L1425" s="1"/>
  <c r="C1426"/>
  <c r="P1425"/>
  <c r="O1425"/>
  <c r="O1417" s="1"/>
  <c r="N1425"/>
  <c r="M1425"/>
  <c r="G1425"/>
  <c r="G1417" s="1"/>
  <c r="F1425"/>
  <c r="E1425"/>
  <c r="D1425"/>
  <c r="C1425"/>
  <c r="L1424"/>
  <c r="C1424"/>
  <c r="M1423"/>
  <c r="L1423"/>
  <c r="D1423"/>
  <c r="C1423"/>
  <c r="M1422"/>
  <c r="L1422"/>
  <c r="F1422"/>
  <c r="C1422" s="1"/>
  <c r="D1422"/>
  <c r="L1421"/>
  <c r="C1421"/>
  <c r="L1420"/>
  <c r="C1420"/>
  <c r="M1419"/>
  <c r="M1417" s="1"/>
  <c r="L1419"/>
  <c r="D1419"/>
  <c r="C1419"/>
  <c r="L1418"/>
  <c r="C1418"/>
  <c r="C1417" s="1"/>
  <c r="P1417"/>
  <c r="N1417"/>
  <c r="F1417"/>
  <c r="E1417"/>
  <c r="M1414"/>
  <c r="M1407" s="1"/>
  <c r="M1387" s="1"/>
  <c r="L1414"/>
  <c r="D1414"/>
  <c r="C1414"/>
  <c r="L1413"/>
  <c r="C1413"/>
  <c r="L1412"/>
  <c r="C1412"/>
  <c r="L1411"/>
  <c r="C1411"/>
  <c r="L1410"/>
  <c r="C1410"/>
  <c r="L1409"/>
  <c r="C1409"/>
  <c r="L1408"/>
  <c r="C1408"/>
  <c r="P1407"/>
  <c r="O1407"/>
  <c r="N1407"/>
  <c r="L1407"/>
  <c r="G1407"/>
  <c r="F1407"/>
  <c r="E1407"/>
  <c r="D1407"/>
  <c r="C1407"/>
  <c r="M1406"/>
  <c r="L1406"/>
  <c r="D1406"/>
  <c r="C1406"/>
  <c r="L1405"/>
  <c r="C1405"/>
  <c r="L1404"/>
  <c r="C1404"/>
  <c r="M1403"/>
  <c r="L1403"/>
  <c r="E1403"/>
  <c r="C1403" s="1"/>
  <c r="D1403"/>
  <c r="L1402"/>
  <c r="C1402"/>
  <c r="M1401"/>
  <c r="L1401"/>
  <c r="D1401"/>
  <c r="C1401"/>
  <c r="L1400"/>
  <c r="C1400"/>
  <c r="L1399"/>
  <c r="C1399"/>
  <c r="L1398"/>
  <c r="C1398"/>
  <c r="L1397"/>
  <c r="C1397"/>
  <c r="L1396"/>
  <c r="L1395" s="1"/>
  <c r="L1387" s="1"/>
  <c r="C1396"/>
  <c r="P1395"/>
  <c r="O1395"/>
  <c r="O1387" s="1"/>
  <c r="N1395"/>
  <c r="N1387" s="1"/>
  <c r="M1395"/>
  <c r="G1395"/>
  <c r="G1387" s="1"/>
  <c r="F1395"/>
  <c r="F1387" s="1"/>
  <c r="E1395"/>
  <c r="D1395"/>
  <c r="C1395"/>
  <c r="L1394"/>
  <c r="C1394"/>
  <c r="L1393"/>
  <c r="C1393"/>
  <c r="M1392"/>
  <c r="L1392"/>
  <c r="D1392"/>
  <c r="C1392"/>
  <c r="L1391"/>
  <c r="C1391"/>
  <c r="L1390"/>
  <c r="C1390"/>
  <c r="L1389"/>
  <c r="C1389"/>
  <c r="L1388"/>
  <c r="C1388"/>
  <c r="P1387"/>
  <c r="E1387"/>
  <c r="D1387"/>
  <c r="L1384"/>
  <c r="C1384"/>
  <c r="L1383"/>
  <c r="C1383"/>
  <c r="L1382"/>
  <c r="C1382"/>
  <c r="L1381"/>
  <c r="C1381"/>
  <c r="L1380"/>
  <c r="C1380"/>
  <c r="L1379"/>
  <c r="C1379"/>
  <c r="L1378"/>
  <c r="C1378"/>
  <c r="C1377" s="1"/>
  <c r="P1377"/>
  <c r="O1377"/>
  <c r="N1377"/>
  <c r="M1377"/>
  <c r="L1377"/>
  <c r="G1377"/>
  <c r="F1377"/>
  <c r="E1377"/>
  <c r="D1377"/>
  <c r="L1376"/>
  <c r="C1376"/>
  <c r="L1375"/>
  <c r="C1375"/>
  <c r="L1374"/>
  <c r="C1374"/>
  <c r="M1373"/>
  <c r="L1373"/>
  <c r="D1373"/>
  <c r="C1373"/>
  <c r="L1372"/>
  <c r="C1372"/>
  <c r="L1371"/>
  <c r="C1371"/>
  <c r="L1370"/>
  <c r="C1370"/>
  <c r="L1369"/>
  <c r="C1369"/>
  <c r="L1368"/>
  <c r="C1368"/>
  <c r="L1367"/>
  <c r="C1367"/>
  <c r="M1366"/>
  <c r="L1366"/>
  <c r="D1366"/>
  <c r="C1366"/>
  <c r="C1365" s="1"/>
  <c r="C1357" s="1"/>
  <c r="P1365"/>
  <c r="O1365"/>
  <c r="N1365"/>
  <c r="M1365"/>
  <c r="L1365"/>
  <c r="G1365"/>
  <c r="F1365"/>
  <c r="E1365"/>
  <c r="E1357" s="1"/>
  <c r="D1365"/>
  <c r="L1364"/>
  <c r="C1364"/>
  <c r="M1363"/>
  <c r="L1363"/>
  <c r="D1363"/>
  <c r="C1363"/>
  <c r="M1362"/>
  <c r="M1357" s="1"/>
  <c r="L1362"/>
  <c r="E1362"/>
  <c r="D1362"/>
  <c r="C1362"/>
  <c r="L1361"/>
  <c r="C1361"/>
  <c r="L1360"/>
  <c r="C1360"/>
  <c r="M1359"/>
  <c r="L1359"/>
  <c r="D1359"/>
  <c r="C1359"/>
  <c r="L1358"/>
  <c r="C1358"/>
  <c r="P1357"/>
  <c r="O1357"/>
  <c r="N1357"/>
  <c r="L1357"/>
  <c r="G1357"/>
  <c r="F1357"/>
  <c r="D1357"/>
  <c r="L1354"/>
  <c r="C1354"/>
  <c r="L1353"/>
  <c r="C1353"/>
  <c r="L1352"/>
  <c r="C1352"/>
  <c r="L1351"/>
  <c r="C1351"/>
  <c r="L1350"/>
  <c r="C1350"/>
  <c r="L1349"/>
  <c r="C1349"/>
  <c r="L1348"/>
  <c r="C1348"/>
  <c r="P1347"/>
  <c r="O1347"/>
  <c r="N1347"/>
  <c r="M1347"/>
  <c r="L1347"/>
  <c r="G1347"/>
  <c r="F1347"/>
  <c r="E1347"/>
  <c r="D1347"/>
  <c r="C1347"/>
  <c r="M1346"/>
  <c r="L1346"/>
  <c r="D1346"/>
  <c r="C1346"/>
  <c r="L1345"/>
  <c r="C1345"/>
  <c r="L1344"/>
  <c r="C1344"/>
  <c r="M1343"/>
  <c r="L1343"/>
  <c r="D1343"/>
  <c r="C1343"/>
  <c r="L1342"/>
  <c r="C1342"/>
  <c r="M1341"/>
  <c r="L1341"/>
  <c r="D1341"/>
  <c r="C1341"/>
  <c r="L1340"/>
  <c r="C1340"/>
  <c r="L1339"/>
  <c r="C1339"/>
  <c r="M1338"/>
  <c r="M1335" s="1"/>
  <c r="M1327" s="1"/>
  <c r="L1338"/>
  <c r="D1338"/>
  <c r="C1338"/>
  <c r="L1337"/>
  <c r="C1337"/>
  <c r="L1336"/>
  <c r="C1336"/>
  <c r="P1335"/>
  <c r="P1327" s="1"/>
  <c r="O1335"/>
  <c r="O1327" s="1"/>
  <c r="N1335"/>
  <c r="L1335"/>
  <c r="G1335"/>
  <c r="G1327" s="1"/>
  <c r="F1335"/>
  <c r="E1335"/>
  <c r="D1335"/>
  <c r="C1335"/>
  <c r="L1334"/>
  <c r="C1334"/>
  <c r="L1333"/>
  <c r="C1333"/>
  <c r="M1332"/>
  <c r="L1332"/>
  <c r="D1332"/>
  <c r="D1327" s="1"/>
  <c r="C1332"/>
  <c r="L1331"/>
  <c r="C1331"/>
  <c r="L1330"/>
  <c r="C1330"/>
  <c r="L1329"/>
  <c r="C1329"/>
  <c r="L1328"/>
  <c r="L1327" s="1"/>
  <c r="C1328"/>
  <c r="C1327" s="1"/>
  <c r="N1327"/>
  <c r="F1327"/>
  <c r="E1327"/>
  <c r="M1324"/>
  <c r="M1317" s="1"/>
  <c r="M1297" s="1"/>
  <c r="L1324"/>
  <c r="D1324"/>
  <c r="C1324"/>
  <c r="L1323"/>
  <c r="C1323"/>
  <c r="L1322"/>
  <c r="C1322"/>
  <c r="L1321"/>
  <c r="C1321"/>
  <c r="L1320"/>
  <c r="C1320"/>
  <c r="L1319"/>
  <c r="C1319"/>
  <c r="L1318"/>
  <c r="C1318"/>
  <c r="P1317"/>
  <c r="O1317"/>
  <c r="N1317"/>
  <c r="L1317"/>
  <c r="G1317"/>
  <c r="F1317"/>
  <c r="E1317"/>
  <c r="D1317"/>
  <c r="C1317"/>
  <c r="M1316"/>
  <c r="L1316"/>
  <c r="D1316"/>
  <c r="C1316"/>
  <c r="L1315"/>
  <c r="C1315"/>
  <c r="L1314"/>
  <c r="C1314"/>
  <c r="L1313"/>
  <c r="C1313"/>
  <c r="L1312"/>
  <c r="C1312"/>
  <c r="M1311"/>
  <c r="L1311"/>
  <c r="D1311"/>
  <c r="C1311"/>
  <c r="L1310"/>
  <c r="C1310"/>
  <c r="L1309"/>
  <c r="C1309"/>
  <c r="L1308"/>
  <c r="C1308"/>
  <c r="L1307"/>
  <c r="C1307"/>
  <c r="L1306"/>
  <c r="C1306"/>
  <c r="P1305"/>
  <c r="P1297" s="1"/>
  <c r="O1305"/>
  <c r="O1297" s="1"/>
  <c r="N1305"/>
  <c r="M1305"/>
  <c r="L1305"/>
  <c r="G1305"/>
  <c r="G1297" s="1"/>
  <c r="F1305"/>
  <c r="E1305"/>
  <c r="D1305"/>
  <c r="C1305"/>
  <c r="L1304"/>
  <c r="C1304"/>
  <c r="L1303"/>
  <c r="C1303"/>
  <c r="M1302"/>
  <c r="L1302"/>
  <c r="D1302"/>
  <c r="D1297" s="1"/>
  <c r="C1302"/>
  <c r="L1301"/>
  <c r="C1301"/>
  <c r="L1300"/>
  <c r="C1300"/>
  <c r="L1299"/>
  <c r="C1299"/>
  <c r="L1298"/>
  <c r="L1297" s="1"/>
  <c r="C1298"/>
  <c r="C1297" s="1"/>
  <c r="N1297"/>
  <c r="F1297"/>
  <c r="E1297"/>
  <c r="L1294"/>
  <c r="C1294"/>
  <c r="L1293"/>
  <c r="C1293"/>
  <c r="L1292"/>
  <c r="C1292"/>
  <c r="L1291"/>
  <c r="C1291"/>
  <c r="L1290"/>
  <c r="C1290"/>
  <c r="L1289"/>
  <c r="C1289"/>
  <c r="L1288"/>
  <c r="L1287" s="1"/>
  <c r="C1288"/>
  <c r="C1287" s="1"/>
  <c r="C1267" s="1"/>
  <c r="P1287"/>
  <c r="O1287"/>
  <c r="N1287"/>
  <c r="M1287"/>
  <c r="M1267" s="1"/>
  <c r="G1287"/>
  <c r="F1287"/>
  <c r="E1287"/>
  <c r="E1267" s="1"/>
  <c r="D1287"/>
  <c r="L1286"/>
  <c r="C1286"/>
  <c r="L1285"/>
  <c r="E1285"/>
  <c r="C1285"/>
  <c r="L1284"/>
  <c r="C1284"/>
  <c r="L1283"/>
  <c r="C1283"/>
  <c r="L1282"/>
  <c r="C1282"/>
  <c r="L1281"/>
  <c r="C1281"/>
  <c r="L1280"/>
  <c r="C1280"/>
  <c r="L1279"/>
  <c r="C1279"/>
  <c r="L1278"/>
  <c r="C1278"/>
  <c r="L1277"/>
  <c r="C1277"/>
  <c r="L1276"/>
  <c r="L1275" s="1"/>
  <c r="C1276"/>
  <c r="P1275"/>
  <c r="O1275"/>
  <c r="N1275"/>
  <c r="M1275"/>
  <c r="G1275"/>
  <c r="F1275"/>
  <c r="E1275"/>
  <c r="D1275"/>
  <c r="C1275"/>
  <c r="L1274"/>
  <c r="C1274"/>
  <c r="L1273"/>
  <c r="C1273"/>
  <c r="L1272"/>
  <c r="C1272"/>
  <c r="L1271"/>
  <c r="C1271"/>
  <c r="L1270"/>
  <c r="C1270"/>
  <c r="L1269"/>
  <c r="C1269"/>
  <c r="L1268"/>
  <c r="L1267" s="1"/>
  <c r="C1268"/>
  <c r="P1267"/>
  <c r="O1267"/>
  <c r="N1267"/>
  <c r="G1267"/>
  <c r="F1267"/>
  <c r="D1267"/>
  <c r="L1264"/>
  <c r="E1264"/>
  <c r="C1264"/>
  <c r="L1263"/>
  <c r="C1263"/>
  <c r="L1262"/>
  <c r="C1262"/>
  <c r="L1261"/>
  <c r="C1261"/>
  <c r="L1260"/>
  <c r="C1260"/>
  <c r="L1259"/>
  <c r="C1259"/>
  <c r="L1258"/>
  <c r="C1258"/>
  <c r="P1257"/>
  <c r="O1257"/>
  <c r="N1257"/>
  <c r="M1257"/>
  <c r="L1257"/>
  <c r="G1257"/>
  <c r="F1257"/>
  <c r="E1257"/>
  <c r="D1257"/>
  <c r="C1257"/>
  <c r="L1256"/>
  <c r="C1256"/>
  <c r="L1255"/>
  <c r="C1255"/>
  <c r="L1254"/>
  <c r="C1254"/>
  <c r="L1253"/>
  <c r="E1253"/>
  <c r="C1253" s="1"/>
  <c r="L1252"/>
  <c r="C1252"/>
  <c r="M1251"/>
  <c r="L1251"/>
  <c r="E1251"/>
  <c r="D1251"/>
  <c r="C1251"/>
  <c r="L1250"/>
  <c r="C1250"/>
  <c r="L1249"/>
  <c r="C1249"/>
  <c r="M1248"/>
  <c r="L1248"/>
  <c r="D1248"/>
  <c r="D1245" s="1"/>
  <c r="D1237" s="1"/>
  <c r="C1248"/>
  <c r="L1247"/>
  <c r="C1247"/>
  <c r="L1246"/>
  <c r="L1245" s="1"/>
  <c r="L1237" s="1"/>
  <c r="C1246"/>
  <c r="C1245" s="1"/>
  <c r="P1245"/>
  <c r="O1245"/>
  <c r="N1245"/>
  <c r="N1237" s="1"/>
  <c r="M1245"/>
  <c r="G1245"/>
  <c r="F1245"/>
  <c r="F1237" s="1"/>
  <c r="E1245"/>
  <c r="E1237" s="1"/>
  <c r="L1244"/>
  <c r="C1244"/>
  <c r="L1243"/>
  <c r="C1243"/>
  <c r="M1242"/>
  <c r="M1237" s="1"/>
  <c r="L1242"/>
  <c r="D1242"/>
  <c r="C1242"/>
  <c r="L1241"/>
  <c r="C1241"/>
  <c r="L1240"/>
  <c r="C1240"/>
  <c r="L1239"/>
  <c r="C1239"/>
  <c r="L1238"/>
  <c r="C1238"/>
  <c r="P1237"/>
  <c r="O1237"/>
  <c r="G1237"/>
  <c r="L1234"/>
  <c r="C1234"/>
  <c r="L1233"/>
  <c r="C1233"/>
  <c r="L1232"/>
  <c r="C1232"/>
  <c r="L1231"/>
  <c r="C1231"/>
  <c r="L1230"/>
  <c r="C1230"/>
  <c r="L1229"/>
  <c r="C1229"/>
  <c r="L1228"/>
  <c r="C1228"/>
  <c r="P1227"/>
  <c r="O1227"/>
  <c r="N1227"/>
  <c r="M1227"/>
  <c r="L1227"/>
  <c r="G1227"/>
  <c r="F1227"/>
  <c r="E1227"/>
  <c r="D1227"/>
  <c r="C1227"/>
  <c r="L1226"/>
  <c r="C1226"/>
  <c r="L1225"/>
  <c r="C1225"/>
  <c r="L1224"/>
  <c r="C1224"/>
  <c r="L1223"/>
  <c r="C1223"/>
  <c r="L1222"/>
  <c r="C1222"/>
  <c r="L1221"/>
  <c r="C1221"/>
  <c r="L1220"/>
  <c r="C1220"/>
  <c r="L1219"/>
  <c r="C1219"/>
  <c r="L1218"/>
  <c r="C1218"/>
  <c r="L1217"/>
  <c r="C1217"/>
  <c r="L1216"/>
  <c r="C1216"/>
  <c r="P1215"/>
  <c r="O1215"/>
  <c r="N1215"/>
  <c r="M1215"/>
  <c r="L1215"/>
  <c r="G1215"/>
  <c r="F1215"/>
  <c r="E1215"/>
  <c r="D1215"/>
  <c r="C1215"/>
  <c r="L1214"/>
  <c r="C1214"/>
  <c r="L1213"/>
  <c r="C1213"/>
  <c r="L1212"/>
  <c r="C1212"/>
  <c r="L1211"/>
  <c r="C1211"/>
  <c r="L1210"/>
  <c r="C1210"/>
  <c r="L1209"/>
  <c r="C1209"/>
  <c r="L1208"/>
  <c r="C1208"/>
  <c r="P1207"/>
  <c r="O1207"/>
  <c r="N1207"/>
  <c r="M1207"/>
  <c r="L1207"/>
  <c r="G1207"/>
  <c r="F1207"/>
  <c r="E1207"/>
  <c r="D1207"/>
  <c r="C1207"/>
  <c r="L1204"/>
  <c r="C1204"/>
  <c r="L1203"/>
  <c r="C1203"/>
  <c r="M1202"/>
  <c r="M1532" s="1"/>
  <c r="L1202"/>
  <c r="D1202"/>
  <c r="D1197" s="1"/>
  <c r="C1202"/>
  <c r="L1201"/>
  <c r="C1201"/>
  <c r="L1200"/>
  <c r="C1200"/>
  <c r="L1199"/>
  <c r="C1199"/>
  <c r="L1198"/>
  <c r="L1197" s="1"/>
  <c r="C1198"/>
  <c r="C1197" s="1"/>
  <c r="P1197"/>
  <c r="O1197"/>
  <c r="N1197"/>
  <c r="M1197"/>
  <c r="G1197"/>
  <c r="F1197"/>
  <c r="E1197"/>
  <c r="M1196"/>
  <c r="L1196"/>
  <c r="D1196"/>
  <c r="C1196"/>
  <c r="M1195"/>
  <c r="L1195"/>
  <c r="D1195"/>
  <c r="C1195"/>
  <c r="L1194"/>
  <c r="C1194"/>
  <c r="L1193"/>
  <c r="C1193"/>
  <c r="L1192"/>
  <c r="C1192"/>
  <c r="M1191"/>
  <c r="L1191"/>
  <c r="D1191"/>
  <c r="C1191"/>
  <c r="L1190"/>
  <c r="C1190"/>
  <c r="L1189"/>
  <c r="C1189"/>
  <c r="M1188"/>
  <c r="L1188"/>
  <c r="D1188"/>
  <c r="D1185" s="1"/>
  <c r="D1177" s="1"/>
  <c r="C1188"/>
  <c r="L1187"/>
  <c r="C1187"/>
  <c r="L1186"/>
  <c r="L1185" s="1"/>
  <c r="L1177" s="1"/>
  <c r="C1186"/>
  <c r="C1185" s="1"/>
  <c r="P1185"/>
  <c r="O1185"/>
  <c r="N1185"/>
  <c r="N1177" s="1"/>
  <c r="M1185"/>
  <c r="G1185"/>
  <c r="F1185"/>
  <c r="F1177" s="1"/>
  <c r="E1185"/>
  <c r="E1177" s="1"/>
  <c r="L1184"/>
  <c r="C1184"/>
  <c r="L1183"/>
  <c r="C1183"/>
  <c r="M1182"/>
  <c r="M1177" s="1"/>
  <c r="L1182"/>
  <c r="D1182"/>
  <c r="C1182"/>
  <c r="L1181"/>
  <c r="C1181"/>
  <c r="L1180"/>
  <c r="C1180"/>
  <c r="L1179"/>
  <c r="C1179"/>
  <c r="L1178"/>
  <c r="C1178"/>
  <c r="P1177"/>
  <c r="O1177"/>
  <c r="G1177"/>
  <c r="M1174"/>
  <c r="L1174"/>
  <c r="D1174"/>
  <c r="D1167" s="1"/>
  <c r="C1174"/>
  <c r="L1173"/>
  <c r="C1173"/>
  <c r="L1172"/>
  <c r="C1172"/>
  <c r="L1171"/>
  <c r="C1171"/>
  <c r="L1170"/>
  <c r="C1170"/>
  <c r="L1169"/>
  <c r="C1169"/>
  <c r="L1168"/>
  <c r="L1167" s="1"/>
  <c r="C1168"/>
  <c r="C1167" s="1"/>
  <c r="P1167"/>
  <c r="O1167"/>
  <c r="N1167"/>
  <c r="M1167"/>
  <c r="G1167"/>
  <c r="F1167"/>
  <c r="E1167"/>
  <c r="M1166"/>
  <c r="L1166"/>
  <c r="D1166"/>
  <c r="C1166"/>
  <c r="L1165"/>
  <c r="C1165"/>
  <c r="L1164"/>
  <c r="C1164"/>
  <c r="M1163"/>
  <c r="L1163"/>
  <c r="D1163"/>
  <c r="C1163"/>
  <c r="L1162"/>
  <c r="C1162"/>
  <c r="L1161"/>
  <c r="C1161"/>
  <c r="L1160"/>
  <c r="C1160"/>
  <c r="L1159"/>
  <c r="C1159"/>
  <c r="L1158"/>
  <c r="C1158"/>
  <c r="L1157"/>
  <c r="C1157"/>
  <c r="L1156"/>
  <c r="L1155" s="1"/>
  <c r="C1156"/>
  <c r="C1155" s="1"/>
  <c r="P1155"/>
  <c r="O1155"/>
  <c r="N1155"/>
  <c r="M1155"/>
  <c r="G1155"/>
  <c r="F1155"/>
  <c r="E1155"/>
  <c r="D1155"/>
  <c r="L1154"/>
  <c r="C1154"/>
  <c r="L1153"/>
  <c r="C1153"/>
  <c r="M1152"/>
  <c r="L1152"/>
  <c r="F1152"/>
  <c r="F1512" s="1"/>
  <c r="F1507" s="1"/>
  <c r="E1152"/>
  <c r="D1152"/>
  <c r="D1147" s="1"/>
  <c r="C1152"/>
  <c r="L1151"/>
  <c r="C1151"/>
  <c r="L1150"/>
  <c r="C1150"/>
  <c r="L1149"/>
  <c r="C1149"/>
  <c r="L1148"/>
  <c r="C1148"/>
  <c r="P1147"/>
  <c r="O1147"/>
  <c r="N1147"/>
  <c r="M1147"/>
  <c r="G1147"/>
  <c r="F1147"/>
  <c r="E1147"/>
  <c r="L1144"/>
  <c r="C1144"/>
  <c r="L1143"/>
  <c r="C1143"/>
  <c r="L1142"/>
  <c r="C1142"/>
  <c r="L1141"/>
  <c r="C1141"/>
  <c r="L1140"/>
  <c r="C1140"/>
  <c r="L1139"/>
  <c r="C1139"/>
  <c r="L1138"/>
  <c r="L1137" s="1"/>
  <c r="C1138"/>
  <c r="C1137" s="1"/>
  <c r="P1137"/>
  <c r="O1137"/>
  <c r="N1137"/>
  <c r="M1137"/>
  <c r="G1137"/>
  <c r="F1137"/>
  <c r="E1137"/>
  <c r="D1137"/>
  <c r="M1136"/>
  <c r="L1136"/>
  <c r="D1136"/>
  <c r="C1136"/>
  <c r="L1135"/>
  <c r="E1135"/>
  <c r="E1525" s="1"/>
  <c r="L1134"/>
  <c r="C1134"/>
  <c r="M1133"/>
  <c r="L1133"/>
  <c r="D1133"/>
  <c r="C1133"/>
  <c r="L1132"/>
  <c r="C1132"/>
  <c r="M1131"/>
  <c r="L1131"/>
  <c r="D1131"/>
  <c r="C1131"/>
  <c r="L1130"/>
  <c r="C1130"/>
  <c r="M1129"/>
  <c r="M1519" s="1"/>
  <c r="L1129"/>
  <c r="D1129"/>
  <c r="D1519" s="1"/>
  <c r="C1129"/>
  <c r="L1128"/>
  <c r="C1128"/>
  <c r="L1127"/>
  <c r="C1127"/>
  <c r="M1126"/>
  <c r="M1516" s="1"/>
  <c r="L1126"/>
  <c r="D1126"/>
  <c r="D1516" s="1"/>
  <c r="C1126"/>
  <c r="C1125" s="1"/>
  <c r="P1125"/>
  <c r="P1117" s="1"/>
  <c r="O1125"/>
  <c r="N1125"/>
  <c r="L1125"/>
  <c r="G1125"/>
  <c r="F1125"/>
  <c r="E1125"/>
  <c r="D1125"/>
  <c r="L1124"/>
  <c r="C1124"/>
  <c r="M1123"/>
  <c r="L1123"/>
  <c r="D1123"/>
  <c r="C1123"/>
  <c r="M1122"/>
  <c r="L1122"/>
  <c r="E1122"/>
  <c r="D1122"/>
  <c r="D1117" s="1"/>
  <c r="C1122"/>
  <c r="L1121"/>
  <c r="C1121"/>
  <c r="L1120"/>
  <c r="C1120"/>
  <c r="L1119"/>
  <c r="C1119"/>
  <c r="L1118"/>
  <c r="L1117" s="1"/>
  <c r="C1118"/>
  <c r="O1117"/>
  <c r="N1117"/>
  <c r="G1117"/>
  <c r="F1117"/>
  <c r="E1117"/>
  <c r="L1114"/>
  <c r="C1114"/>
  <c r="L1113"/>
  <c r="C1113"/>
  <c r="L1112"/>
  <c r="C1112"/>
  <c r="L1111"/>
  <c r="C1111"/>
  <c r="L1110"/>
  <c r="C1110"/>
  <c r="L1109"/>
  <c r="C1109"/>
  <c r="L1108"/>
  <c r="L1107" s="1"/>
  <c r="C1108"/>
  <c r="C1107" s="1"/>
  <c r="P1107"/>
  <c r="O1107"/>
  <c r="N1107"/>
  <c r="M1107"/>
  <c r="G1107"/>
  <c r="F1107"/>
  <c r="E1107"/>
  <c r="D1107"/>
  <c r="M1106"/>
  <c r="L1106"/>
  <c r="D1106"/>
  <c r="C1106"/>
  <c r="L1105"/>
  <c r="C1105"/>
  <c r="L1104"/>
  <c r="C1104"/>
  <c r="L1103"/>
  <c r="C1103"/>
  <c r="L1102"/>
  <c r="C1102"/>
  <c r="L1101"/>
  <c r="C1101"/>
  <c r="L1100"/>
  <c r="C1100"/>
  <c r="L1099"/>
  <c r="C1099"/>
  <c r="L1098"/>
  <c r="C1098"/>
  <c r="L1097"/>
  <c r="C1097"/>
  <c r="L1096"/>
  <c r="C1096"/>
  <c r="P1095"/>
  <c r="P1087" s="1"/>
  <c r="O1095"/>
  <c r="O1087" s="1"/>
  <c r="N1095"/>
  <c r="M1095"/>
  <c r="L1095"/>
  <c r="G1095"/>
  <c r="G1087" s="1"/>
  <c r="F1095"/>
  <c r="E1095"/>
  <c r="D1095"/>
  <c r="D1087" s="1"/>
  <c r="C1095"/>
  <c r="L1094"/>
  <c r="C1094"/>
  <c r="L1093"/>
  <c r="C1093"/>
  <c r="L1092"/>
  <c r="C1092"/>
  <c r="L1091"/>
  <c r="C1091"/>
  <c r="L1090"/>
  <c r="C1090"/>
  <c r="M1089"/>
  <c r="L1089"/>
  <c r="D1089"/>
  <c r="C1089"/>
  <c r="L1088"/>
  <c r="C1088"/>
  <c r="C1087" s="1"/>
  <c r="N1087"/>
  <c r="M1087"/>
  <c r="F1087"/>
  <c r="E1087"/>
  <c r="L1084"/>
  <c r="C1084"/>
  <c r="L1083"/>
  <c r="C1083"/>
  <c r="L1082"/>
  <c r="C1082"/>
  <c r="L1081"/>
  <c r="C1081"/>
  <c r="L1080"/>
  <c r="C1080"/>
  <c r="L1079"/>
  <c r="C1079"/>
  <c r="L1078"/>
  <c r="L1077" s="1"/>
  <c r="L1057" s="1"/>
  <c r="C1078"/>
  <c r="C1077" s="1"/>
  <c r="C1057" s="1"/>
  <c r="P1077"/>
  <c r="O1077"/>
  <c r="N1077"/>
  <c r="N1057" s="1"/>
  <c r="M1077"/>
  <c r="G1077"/>
  <c r="F1077"/>
  <c r="F1057" s="1"/>
  <c r="E1077"/>
  <c r="E1057" s="1"/>
  <c r="D1077"/>
  <c r="L1076"/>
  <c r="C1076"/>
  <c r="L1075"/>
  <c r="C1075"/>
  <c r="L1074"/>
  <c r="C1074"/>
  <c r="L1073"/>
  <c r="C1073"/>
  <c r="L1072"/>
  <c r="C1072"/>
  <c r="L1071"/>
  <c r="C1071"/>
  <c r="L1070"/>
  <c r="C1070"/>
  <c r="L1069"/>
  <c r="C1069"/>
  <c r="M1068"/>
  <c r="M1065" s="1"/>
  <c r="M1057" s="1"/>
  <c r="L1068"/>
  <c r="D1068"/>
  <c r="C1068"/>
  <c r="L1067"/>
  <c r="C1067"/>
  <c r="L1066"/>
  <c r="C1066"/>
  <c r="P1065"/>
  <c r="O1065"/>
  <c r="N1065"/>
  <c r="L1065"/>
  <c r="G1065"/>
  <c r="F1065"/>
  <c r="E1065"/>
  <c r="D1065"/>
  <c r="C1065"/>
  <c r="L1064"/>
  <c r="C1064"/>
  <c r="L1063"/>
  <c r="C1063"/>
  <c r="L1062"/>
  <c r="C1062"/>
  <c r="L1061"/>
  <c r="C1061"/>
  <c r="L1060"/>
  <c r="C1060"/>
  <c r="L1059"/>
  <c r="C1059"/>
  <c r="L1058"/>
  <c r="C1058"/>
  <c r="P1057"/>
  <c r="O1057"/>
  <c r="G1057"/>
  <c r="D1057"/>
  <c r="L1054"/>
  <c r="C1054"/>
  <c r="L1053"/>
  <c r="C1053"/>
  <c r="L1052"/>
  <c r="C1052"/>
  <c r="L1051"/>
  <c r="C1051"/>
  <c r="L1050"/>
  <c r="C1050"/>
  <c r="L1049"/>
  <c r="C1049"/>
  <c r="L1048"/>
  <c r="C1048"/>
  <c r="P1047"/>
  <c r="O1047"/>
  <c r="N1047"/>
  <c r="M1047"/>
  <c r="L1047"/>
  <c r="G1047"/>
  <c r="F1047"/>
  <c r="E1047"/>
  <c r="D1047"/>
  <c r="C1047"/>
  <c r="M1046"/>
  <c r="L1046"/>
  <c r="D1046"/>
  <c r="C1046"/>
  <c r="L1045"/>
  <c r="C1045"/>
  <c r="L1044"/>
  <c r="C1044"/>
  <c r="L1043"/>
  <c r="C1043"/>
  <c r="L1042"/>
  <c r="C1042"/>
  <c r="L1041"/>
  <c r="E1041"/>
  <c r="C1041"/>
  <c r="L1040"/>
  <c r="C1040"/>
  <c r="L1039"/>
  <c r="C1039"/>
  <c r="M1038"/>
  <c r="L1038"/>
  <c r="D1038"/>
  <c r="C1038"/>
  <c r="L1037"/>
  <c r="C1037"/>
  <c r="L1036"/>
  <c r="C1036"/>
  <c r="C1035" s="1"/>
  <c r="P1035"/>
  <c r="O1035"/>
  <c r="N1035"/>
  <c r="N1027" s="1"/>
  <c r="M1035"/>
  <c r="M1027" s="1"/>
  <c r="L1035"/>
  <c r="G1035"/>
  <c r="F1035"/>
  <c r="F1027" s="1"/>
  <c r="E1035"/>
  <c r="D1035"/>
  <c r="L1034"/>
  <c r="C1034"/>
  <c r="L1033"/>
  <c r="C1033"/>
  <c r="M1032"/>
  <c r="L1032"/>
  <c r="E1032"/>
  <c r="C1032" s="1"/>
  <c r="C1027" s="1"/>
  <c r="D1032"/>
  <c r="L1031"/>
  <c r="C1031"/>
  <c r="L1030"/>
  <c r="C1030"/>
  <c r="L1029"/>
  <c r="C1029"/>
  <c r="L1028"/>
  <c r="C1028"/>
  <c r="P1027"/>
  <c r="O1027"/>
  <c r="L1027"/>
  <c r="G1027"/>
  <c r="D1027"/>
  <c r="L1024"/>
  <c r="C1024"/>
  <c r="L1023"/>
  <c r="C1023"/>
  <c r="L1022"/>
  <c r="C1022"/>
  <c r="L1021"/>
  <c r="C1021"/>
  <c r="L1020"/>
  <c r="C1020"/>
  <c r="L1019"/>
  <c r="C1019"/>
  <c r="L1018"/>
  <c r="C1018"/>
  <c r="P1017"/>
  <c r="O1017"/>
  <c r="N1017"/>
  <c r="M1017"/>
  <c r="L1017"/>
  <c r="G1017"/>
  <c r="F1017"/>
  <c r="E1017"/>
  <c r="D1017"/>
  <c r="C1017"/>
  <c r="L1016"/>
  <c r="C1016"/>
  <c r="L1015"/>
  <c r="C1015"/>
  <c r="L1014"/>
  <c r="C1014"/>
  <c r="L1013"/>
  <c r="C1013"/>
  <c r="L1012"/>
  <c r="C1012"/>
  <c r="L1011"/>
  <c r="C1011"/>
  <c r="L1010"/>
  <c r="C1010"/>
  <c r="L1009"/>
  <c r="C1009"/>
  <c r="L1008"/>
  <c r="C1008"/>
  <c r="L1007"/>
  <c r="C1007"/>
  <c r="L1006"/>
  <c r="C1006"/>
  <c r="P1005"/>
  <c r="P997" s="1"/>
  <c r="O1005"/>
  <c r="O997" s="1"/>
  <c r="N1005"/>
  <c r="M1005"/>
  <c r="L1005"/>
  <c r="G1005"/>
  <c r="G997" s="1"/>
  <c r="F1005"/>
  <c r="E1005"/>
  <c r="D1005"/>
  <c r="C1005"/>
  <c r="L1004"/>
  <c r="C1004"/>
  <c r="M1003"/>
  <c r="L1003"/>
  <c r="D1003"/>
  <c r="C1003"/>
  <c r="M1002"/>
  <c r="L1002"/>
  <c r="E1002"/>
  <c r="D1002"/>
  <c r="D997" s="1"/>
  <c r="C1002"/>
  <c r="L1001"/>
  <c r="C1001"/>
  <c r="L1000"/>
  <c r="C1000"/>
  <c r="L999"/>
  <c r="E999"/>
  <c r="C999"/>
  <c r="L998"/>
  <c r="L997" s="1"/>
  <c r="C998"/>
  <c r="C997" s="1"/>
  <c r="N997"/>
  <c r="M997"/>
  <c r="F997"/>
  <c r="E997"/>
  <c r="L994"/>
  <c r="C994"/>
  <c r="L993"/>
  <c r="C993"/>
  <c r="L992"/>
  <c r="C992"/>
  <c r="L991"/>
  <c r="C991"/>
  <c r="L990"/>
  <c r="C990"/>
  <c r="L989"/>
  <c r="C989"/>
  <c r="L988"/>
  <c r="L987" s="1"/>
  <c r="C988"/>
  <c r="C987" s="1"/>
  <c r="P987"/>
  <c r="O987"/>
  <c r="N987"/>
  <c r="M987"/>
  <c r="G987"/>
  <c r="F987"/>
  <c r="E987"/>
  <c r="D987"/>
  <c r="L986"/>
  <c r="C986"/>
  <c r="L985"/>
  <c r="C985"/>
  <c r="L984"/>
  <c r="C984"/>
  <c r="L983"/>
  <c r="C983"/>
  <c r="L982"/>
  <c r="C982"/>
  <c r="L981"/>
  <c r="C981"/>
  <c r="L980"/>
  <c r="C980"/>
  <c r="L979"/>
  <c r="C979"/>
  <c r="L978"/>
  <c r="C978"/>
  <c r="L977"/>
  <c r="C977"/>
  <c r="L976"/>
  <c r="L975" s="1"/>
  <c r="C976"/>
  <c r="C975" s="1"/>
  <c r="P975"/>
  <c r="O975"/>
  <c r="N975"/>
  <c r="N967" s="1"/>
  <c r="M975"/>
  <c r="G975"/>
  <c r="F975"/>
  <c r="E975"/>
  <c r="D975"/>
  <c r="L974"/>
  <c r="C974"/>
  <c r="L973"/>
  <c r="C973"/>
  <c r="L972"/>
  <c r="E972"/>
  <c r="L971"/>
  <c r="C971"/>
  <c r="L970"/>
  <c r="C970"/>
  <c r="L969"/>
  <c r="C969"/>
  <c r="L968"/>
  <c r="C968"/>
  <c r="P967"/>
  <c r="O967"/>
  <c r="G967"/>
  <c r="F967"/>
  <c r="D967"/>
  <c r="L964"/>
  <c r="C964"/>
  <c r="L963"/>
  <c r="C963"/>
  <c r="L962"/>
  <c r="C962"/>
  <c r="L961"/>
  <c r="C961"/>
  <c r="L960"/>
  <c r="C960"/>
  <c r="L959"/>
  <c r="C959"/>
  <c r="L958"/>
  <c r="L957" s="1"/>
  <c r="C958"/>
  <c r="P957"/>
  <c r="O957"/>
  <c r="N957"/>
  <c r="N937" s="1"/>
  <c r="M957"/>
  <c r="G957"/>
  <c r="G937" s="1"/>
  <c r="F957"/>
  <c r="E957"/>
  <c r="D957"/>
  <c r="C957"/>
  <c r="L956"/>
  <c r="C956"/>
  <c r="L955"/>
  <c r="C955"/>
  <c r="L954"/>
  <c r="C954"/>
  <c r="L953"/>
  <c r="E953"/>
  <c r="C953" s="1"/>
  <c r="C937" s="1"/>
  <c r="L952"/>
  <c r="C952"/>
  <c r="L951"/>
  <c r="C951"/>
  <c r="L950"/>
  <c r="C950"/>
  <c r="L949"/>
  <c r="C949"/>
  <c r="L948"/>
  <c r="C948"/>
  <c r="L947"/>
  <c r="C947"/>
  <c r="L946"/>
  <c r="C946"/>
  <c r="P945"/>
  <c r="P937" s="1"/>
  <c r="O945"/>
  <c r="N945"/>
  <c r="M945"/>
  <c r="M937" s="1"/>
  <c r="L945"/>
  <c r="G945"/>
  <c r="F945"/>
  <c r="E945"/>
  <c r="D945"/>
  <c r="C945"/>
  <c r="L944"/>
  <c r="C944"/>
  <c r="L943"/>
  <c r="C943"/>
  <c r="M942"/>
  <c r="L942"/>
  <c r="D942"/>
  <c r="D937" s="1"/>
  <c r="C942"/>
  <c r="L941"/>
  <c r="C941"/>
  <c r="L940"/>
  <c r="C940"/>
  <c r="L939"/>
  <c r="E939"/>
  <c r="E937" s="1"/>
  <c r="C939"/>
  <c r="L938"/>
  <c r="C938"/>
  <c r="O937"/>
  <c r="F937"/>
  <c r="L934"/>
  <c r="C934"/>
  <c r="L933"/>
  <c r="C933"/>
  <c r="L932"/>
  <c r="C932"/>
  <c r="L931"/>
  <c r="C931"/>
  <c r="L930"/>
  <c r="C930"/>
  <c r="L929"/>
  <c r="C929"/>
  <c r="C927" s="1"/>
  <c r="L928"/>
  <c r="L927" s="1"/>
  <c r="C928"/>
  <c r="P927"/>
  <c r="O927"/>
  <c r="N927"/>
  <c r="M927"/>
  <c r="G927"/>
  <c r="G907" s="1"/>
  <c r="F927"/>
  <c r="E927"/>
  <c r="D927"/>
  <c r="L926"/>
  <c r="C926"/>
  <c r="L925"/>
  <c r="C925"/>
  <c r="L924"/>
  <c r="C924"/>
  <c r="L923"/>
  <c r="C923"/>
  <c r="L922"/>
  <c r="C922"/>
  <c r="L921"/>
  <c r="C921"/>
  <c r="L920"/>
  <c r="C920"/>
  <c r="L919"/>
  <c r="C919"/>
  <c r="L918"/>
  <c r="C918"/>
  <c r="L917"/>
  <c r="C917"/>
  <c r="C915" s="1"/>
  <c r="C907" s="1"/>
  <c r="L916"/>
  <c r="L915" s="1"/>
  <c r="C916"/>
  <c r="P915"/>
  <c r="O915"/>
  <c r="N915"/>
  <c r="N907" s="1"/>
  <c r="M915"/>
  <c r="G915"/>
  <c r="F915"/>
  <c r="E915"/>
  <c r="D915"/>
  <c r="L914"/>
  <c r="C914"/>
  <c r="L913"/>
  <c r="C913"/>
  <c r="L912"/>
  <c r="C912"/>
  <c r="L911"/>
  <c r="C911"/>
  <c r="L910"/>
  <c r="L907" s="1"/>
  <c r="C910"/>
  <c r="L909"/>
  <c r="E909"/>
  <c r="C909"/>
  <c r="L908"/>
  <c r="C908"/>
  <c r="P907"/>
  <c r="O907"/>
  <c r="M907"/>
  <c r="D907"/>
  <c r="L904"/>
  <c r="C904"/>
  <c r="L903"/>
  <c r="C903"/>
  <c r="L902"/>
  <c r="C902"/>
  <c r="L901"/>
  <c r="C901"/>
  <c r="L900"/>
  <c r="C900"/>
  <c r="L899"/>
  <c r="C899"/>
  <c r="L898"/>
  <c r="C898"/>
  <c r="P897"/>
  <c r="O897"/>
  <c r="N897"/>
  <c r="M897"/>
  <c r="L897"/>
  <c r="G897"/>
  <c r="F897"/>
  <c r="E897"/>
  <c r="D897"/>
  <c r="C897"/>
  <c r="L896"/>
  <c r="C896"/>
  <c r="L895"/>
  <c r="C895"/>
  <c r="L894"/>
  <c r="C894"/>
  <c r="L893"/>
  <c r="C893"/>
  <c r="L892"/>
  <c r="C892"/>
  <c r="L891"/>
  <c r="C891"/>
  <c r="L890"/>
  <c r="C890"/>
  <c r="L889"/>
  <c r="C889"/>
  <c r="L888"/>
  <c r="C888"/>
  <c r="L887"/>
  <c r="C887"/>
  <c r="L886"/>
  <c r="C886"/>
  <c r="P885"/>
  <c r="O885"/>
  <c r="N885"/>
  <c r="M885"/>
  <c r="L885"/>
  <c r="G885"/>
  <c r="F885"/>
  <c r="E885"/>
  <c r="D885"/>
  <c r="C885"/>
  <c r="L884"/>
  <c r="C884"/>
  <c r="L883"/>
  <c r="C883"/>
  <c r="L882"/>
  <c r="C882"/>
  <c r="L881"/>
  <c r="C881"/>
  <c r="L880"/>
  <c r="C880"/>
  <c r="L879"/>
  <c r="C879"/>
  <c r="L878"/>
  <c r="C878"/>
  <c r="P877"/>
  <c r="O877"/>
  <c r="N877"/>
  <c r="M877"/>
  <c r="L877"/>
  <c r="G877"/>
  <c r="F877"/>
  <c r="E877"/>
  <c r="D877"/>
  <c r="C877"/>
  <c r="L874"/>
  <c r="C874"/>
  <c r="L873"/>
  <c r="C873"/>
  <c r="L872"/>
  <c r="C872"/>
  <c r="L871"/>
  <c r="C871"/>
  <c r="L870"/>
  <c r="C870"/>
  <c r="L869"/>
  <c r="C869"/>
  <c r="L868"/>
  <c r="C868"/>
  <c r="P867"/>
  <c r="O867"/>
  <c r="N867"/>
  <c r="M867"/>
  <c r="L867"/>
  <c r="G867"/>
  <c r="F867"/>
  <c r="E867"/>
  <c r="D867"/>
  <c r="C867"/>
  <c r="L866"/>
  <c r="C866"/>
  <c r="L865"/>
  <c r="C865"/>
  <c r="L864"/>
  <c r="C864"/>
  <c r="L863"/>
  <c r="C863"/>
  <c r="L862"/>
  <c r="C862"/>
  <c r="L861"/>
  <c r="C861"/>
  <c r="L860"/>
  <c r="C860"/>
  <c r="L859"/>
  <c r="C859"/>
  <c r="L858"/>
  <c r="C858"/>
  <c r="L857"/>
  <c r="C857"/>
  <c r="L856"/>
  <c r="C856"/>
  <c r="P855"/>
  <c r="O855"/>
  <c r="N855"/>
  <c r="M855"/>
  <c r="L855"/>
  <c r="G855"/>
  <c r="F855"/>
  <c r="E855"/>
  <c r="D855"/>
  <c r="C855"/>
  <c r="L854"/>
  <c r="C854"/>
  <c r="L853"/>
  <c r="C853"/>
  <c r="L852"/>
  <c r="C852"/>
  <c r="L851"/>
  <c r="C851"/>
  <c r="L850"/>
  <c r="C850"/>
  <c r="L849"/>
  <c r="C849"/>
  <c r="L848"/>
  <c r="C848"/>
  <c r="P847"/>
  <c r="O847"/>
  <c r="N847"/>
  <c r="M847"/>
  <c r="L847"/>
  <c r="G847"/>
  <c r="F847"/>
  <c r="E847"/>
  <c r="D847"/>
  <c r="C847"/>
  <c r="M844"/>
  <c r="M1534" s="1"/>
  <c r="L844"/>
  <c r="E844"/>
  <c r="D844"/>
  <c r="L843"/>
  <c r="C843"/>
  <c r="L842"/>
  <c r="C842"/>
  <c r="L841"/>
  <c r="C841"/>
  <c r="L840"/>
  <c r="C840"/>
  <c r="L839"/>
  <c r="C839"/>
  <c r="L838"/>
  <c r="L837" s="1"/>
  <c r="C838"/>
  <c r="P837"/>
  <c r="P817" s="1"/>
  <c r="O837"/>
  <c r="O817" s="1"/>
  <c r="N837"/>
  <c r="N817" s="1"/>
  <c r="M837"/>
  <c r="G837"/>
  <c r="G817" s="1"/>
  <c r="F837"/>
  <c r="M836"/>
  <c r="L836"/>
  <c r="D836"/>
  <c r="C836"/>
  <c r="M835"/>
  <c r="L835"/>
  <c r="D835"/>
  <c r="C835"/>
  <c r="L834"/>
  <c r="C834"/>
  <c r="L833"/>
  <c r="C833"/>
  <c r="L832"/>
  <c r="C832"/>
  <c r="M831"/>
  <c r="L831"/>
  <c r="E831"/>
  <c r="C831" s="1"/>
  <c r="D831"/>
  <c r="L830"/>
  <c r="C830"/>
  <c r="L829"/>
  <c r="C829"/>
  <c r="L828"/>
  <c r="C828"/>
  <c r="L827"/>
  <c r="C827"/>
  <c r="L826"/>
  <c r="L825" s="1"/>
  <c r="C826"/>
  <c r="C825" s="1"/>
  <c r="P825"/>
  <c r="O825"/>
  <c r="N825"/>
  <c r="M825"/>
  <c r="G825"/>
  <c r="F825"/>
  <c r="E825"/>
  <c r="D825"/>
  <c r="L824"/>
  <c r="C824"/>
  <c r="M823"/>
  <c r="L823"/>
  <c r="D823"/>
  <c r="C823"/>
  <c r="M822"/>
  <c r="L822"/>
  <c r="D822"/>
  <c r="C822"/>
  <c r="L821"/>
  <c r="C821"/>
  <c r="L820"/>
  <c r="C820"/>
  <c r="L819"/>
  <c r="C819"/>
  <c r="L818"/>
  <c r="L817" s="1"/>
  <c r="C818"/>
  <c r="M817"/>
  <c r="F817"/>
  <c r="L814"/>
  <c r="C814"/>
  <c r="L813"/>
  <c r="C813"/>
  <c r="L812"/>
  <c r="C812"/>
  <c r="L811"/>
  <c r="C811"/>
  <c r="L810"/>
  <c r="C810"/>
  <c r="L809"/>
  <c r="C809"/>
  <c r="L808"/>
  <c r="L807" s="1"/>
  <c r="C808"/>
  <c r="C807" s="1"/>
  <c r="P807"/>
  <c r="O807"/>
  <c r="N807"/>
  <c r="M807"/>
  <c r="G807"/>
  <c r="G787" s="1"/>
  <c r="F807"/>
  <c r="E807"/>
  <c r="D807"/>
  <c r="L806"/>
  <c r="C806"/>
  <c r="L805"/>
  <c r="C805"/>
  <c r="L804"/>
  <c r="C804"/>
  <c r="L803"/>
  <c r="C803"/>
  <c r="L802"/>
  <c r="C802"/>
  <c r="L801"/>
  <c r="E801"/>
  <c r="E1521" s="1"/>
  <c r="L800"/>
  <c r="C800"/>
  <c r="L799"/>
  <c r="L795" s="1"/>
  <c r="C799"/>
  <c r="L798"/>
  <c r="E798"/>
  <c r="C798"/>
  <c r="L797"/>
  <c r="C797"/>
  <c r="L796"/>
  <c r="C796"/>
  <c r="C795" s="1"/>
  <c r="P795"/>
  <c r="P787" s="1"/>
  <c r="O795"/>
  <c r="N795"/>
  <c r="M795"/>
  <c r="M787" s="1"/>
  <c r="G795"/>
  <c r="F795"/>
  <c r="E795"/>
  <c r="D795"/>
  <c r="L794"/>
  <c r="C794"/>
  <c r="L793"/>
  <c r="C793"/>
  <c r="M792"/>
  <c r="L792"/>
  <c r="D792"/>
  <c r="D787" s="1"/>
  <c r="C792"/>
  <c r="L791"/>
  <c r="C791"/>
  <c r="L790"/>
  <c r="C790"/>
  <c r="L789"/>
  <c r="C789"/>
  <c r="L788"/>
  <c r="C788"/>
  <c r="O787"/>
  <c r="N787"/>
  <c r="F787"/>
  <c r="E787"/>
  <c r="L784"/>
  <c r="C784"/>
  <c r="L783"/>
  <c r="C783"/>
  <c r="L782"/>
  <c r="C782"/>
  <c r="L781"/>
  <c r="C781"/>
  <c r="L780"/>
  <c r="C780"/>
  <c r="L779"/>
  <c r="C779"/>
  <c r="L778"/>
  <c r="L777" s="1"/>
  <c r="C778"/>
  <c r="P777"/>
  <c r="O777"/>
  <c r="N777"/>
  <c r="M777"/>
  <c r="G777"/>
  <c r="F777"/>
  <c r="E777"/>
  <c r="D777"/>
  <c r="C777"/>
  <c r="M776"/>
  <c r="L776"/>
  <c r="D776"/>
  <c r="C776"/>
  <c r="L775"/>
  <c r="C775"/>
  <c r="L774"/>
  <c r="C774"/>
  <c r="L773"/>
  <c r="C773"/>
  <c r="L772"/>
  <c r="C772"/>
  <c r="L771"/>
  <c r="C771"/>
  <c r="L770"/>
  <c r="C770"/>
  <c r="L769"/>
  <c r="C769"/>
  <c r="L768"/>
  <c r="C768"/>
  <c r="L767"/>
  <c r="C767"/>
  <c r="L766"/>
  <c r="L765" s="1"/>
  <c r="C766"/>
  <c r="C765" s="1"/>
  <c r="C757" s="1"/>
  <c r="P765"/>
  <c r="O765"/>
  <c r="N765"/>
  <c r="N757" s="1"/>
  <c r="M765"/>
  <c r="G765"/>
  <c r="F765"/>
  <c r="F757" s="1"/>
  <c r="E765"/>
  <c r="E757" s="1"/>
  <c r="D765"/>
  <c r="L764"/>
  <c r="C764"/>
  <c r="L763"/>
  <c r="C763"/>
  <c r="M762"/>
  <c r="M757" s="1"/>
  <c r="L762"/>
  <c r="L757" s="1"/>
  <c r="D762"/>
  <c r="C762"/>
  <c r="L761"/>
  <c r="C761"/>
  <c r="L760"/>
  <c r="C760"/>
  <c r="L759"/>
  <c r="C759"/>
  <c r="L758"/>
  <c r="C758"/>
  <c r="P757"/>
  <c r="O757"/>
  <c r="G757"/>
  <c r="D757"/>
  <c r="L754"/>
  <c r="C754"/>
  <c r="L753"/>
  <c r="C753"/>
  <c r="L752"/>
  <c r="C752"/>
  <c r="L751"/>
  <c r="C751"/>
  <c r="L750"/>
  <c r="C750"/>
  <c r="L749"/>
  <c r="C749"/>
  <c r="L748"/>
  <c r="C748"/>
  <c r="P747"/>
  <c r="P727" s="1"/>
  <c r="O747"/>
  <c r="O727" s="1"/>
  <c r="N747"/>
  <c r="M747"/>
  <c r="L747"/>
  <c r="G747"/>
  <c r="G727" s="1"/>
  <c r="F747"/>
  <c r="E747"/>
  <c r="D747"/>
  <c r="C747"/>
  <c r="M746"/>
  <c r="L746"/>
  <c r="D746"/>
  <c r="D1526" s="1"/>
  <c r="C746"/>
  <c r="L745"/>
  <c r="C745"/>
  <c r="L744"/>
  <c r="C744"/>
  <c r="M743"/>
  <c r="L743"/>
  <c r="D743"/>
  <c r="C743"/>
  <c r="L742"/>
  <c r="C742"/>
  <c r="L741"/>
  <c r="C741"/>
  <c r="L740"/>
  <c r="C740"/>
  <c r="L739"/>
  <c r="C739"/>
  <c r="M738"/>
  <c r="M1518" s="1"/>
  <c r="L738"/>
  <c r="D738"/>
  <c r="D1518" s="1"/>
  <c r="C738"/>
  <c r="L737"/>
  <c r="C737"/>
  <c r="L736"/>
  <c r="L735" s="1"/>
  <c r="C736"/>
  <c r="C735" s="1"/>
  <c r="P735"/>
  <c r="O735"/>
  <c r="N735"/>
  <c r="M735"/>
  <c r="G735"/>
  <c r="F735"/>
  <c r="E735"/>
  <c r="L734"/>
  <c r="C734"/>
  <c r="M733"/>
  <c r="M1513" s="1"/>
  <c r="L733"/>
  <c r="D733"/>
  <c r="D1513" s="1"/>
  <c r="C733"/>
  <c r="M732"/>
  <c r="L732"/>
  <c r="D732"/>
  <c r="C732"/>
  <c r="L731"/>
  <c r="C731"/>
  <c r="L730"/>
  <c r="C730"/>
  <c r="L729"/>
  <c r="C729"/>
  <c r="L728"/>
  <c r="L727" s="1"/>
  <c r="C728"/>
  <c r="C727" s="1"/>
  <c r="N727"/>
  <c r="M727"/>
  <c r="F727"/>
  <c r="E727"/>
  <c r="L724"/>
  <c r="C724"/>
  <c r="L723"/>
  <c r="C723"/>
  <c r="L722"/>
  <c r="C722"/>
  <c r="L721"/>
  <c r="C721"/>
  <c r="L720"/>
  <c r="C720"/>
  <c r="L719"/>
  <c r="C719"/>
  <c r="L718"/>
  <c r="L717" s="1"/>
  <c r="L697" s="1"/>
  <c r="C718"/>
  <c r="C717" s="1"/>
  <c r="P717"/>
  <c r="O717"/>
  <c r="N717"/>
  <c r="N697" s="1"/>
  <c r="M717"/>
  <c r="G717"/>
  <c r="F717"/>
  <c r="F697" s="1"/>
  <c r="E717"/>
  <c r="D717"/>
  <c r="L716"/>
  <c r="C716"/>
  <c r="M715"/>
  <c r="L715"/>
  <c r="D715"/>
  <c r="D1525" s="1"/>
  <c r="C715"/>
  <c r="L714"/>
  <c r="C714"/>
  <c r="M713"/>
  <c r="L713"/>
  <c r="E713"/>
  <c r="E1523" s="1"/>
  <c r="D713"/>
  <c r="C713"/>
  <c r="L712"/>
  <c r="C712"/>
  <c r="M711"/>
  <c r="M1521" s="1"/>
  <c r="L711"/>
  <c r="D711"/>
  <c r="D1521" s="1"/>
  <c r="C711"/>
  <c r="L710"/>
  <c r="C710"/>
  <c r="L709"/>
  <c r="C709"/>
  <c r="L708"/>
  <c r="C708"/>
  <c r="L707"/>
  <c r="C707"/>
  <c r="L706"/>
  <c r="C706"/>
  <c r="C705" s="1"/>
  <c r="P705"/>
  <c r="O705"/>
  <c r="N705"/>
  <c r="M705"/>
  <c r="L705"/>
  <c r="G705"/>
  <c r="F705"/>
  <c r="E705"/>
  <c r="D705"/>
  <c r="L704"/>
  <c r="C704"/>
  <c r="L703"/>
  <c r="C703"/>
  <c r="M702"/>
  <c r="L702"/>
  <c r="D702"/>
  <c r="C702"/>
  <c r="L701"/>
  <c r="C701"/>
  <c r="L700"/>
  <c r="C700"/>
  <c r="M699"/>
  <c r="M1509" s="1"/>
  <c r="L699"/>
  <c r="D699"/>
  <c r="D1509" s="1"/>
  <c r="C699"/>
  <c r="L698"/>
  <c r="C698"/>
  <c r="P697"/>
  <c r="O697"/>
  <c r="M697"/>
  <c r="G697"/>
  <c r="E697"/>
  <c r="D697"/>
  <c r="L694"/>
  <c r="C694"/>
  <c r="L693"/>
  <c r="L1533" s="1"/>
  <c r="C693"/>
  <c r="L692"/>
  <c r="C692"/>
  <c r="C1532" s="1"/>
  <c r="L691"/>
  <c r="L1531" s="1"/>
  <c r="C691"/>
  <c r="L690"/>
  <c r="C690"/>
  <c r="C1530" s="1"/>
  <c r="L689"/>
  <c r="L1529" s="1"/>
  <c r="C689"/>
  <c r="L688"/>
  <c r="C688"/>
  <c r="C1528" s="1"/>
  <c r="P687"/>
  <c r="O687"/>
  <c r="N687"/>
  <c r="M687"/>
  <c r="L687"/>
  <c r="G687"/>
  <c r="F687"/>
  <c r="E687"/>
  <c r="D687"/>
  <c r="L686"/>
  <c r="C686"/>
  <c r="C1526" s="1"/>
  <c r="L685"/>
  <c r="L1525" s="1"/>
  <c r="C685"/>
  <c r="L684"/>
  <c r="C684"/>
  <c r="C1524" s="1"/>
  <c r="M683"/>
  <c r="M1523" s="1"/>
  <c r="L683"/>
  <c r="D683"/>
  <c r="C683"/>
  <c r="L682"/>
  <c r="L1522" s="1"/>
  <c r="C682"/>
  <c r="L681"/>
  <c r="C681"/>
  <c r="L680"/>
  <c r="L1520" s="1"/>
  <c r="C680"/>
  <c r="L679"/>
  <c r="C679"/>
  <c r="C1519" s="1"/>
  <c r="L678"/>
  <c r="L1518" s="1"/>
  <c r="E678"/>
  <c r="E1518" s="1"/>
  <c r="L677"/>
  <c r="L1517" s="1"/>
  <c r="C677"/>
  <c r="C1517" s="1"/>
  <c r="L676"/>
  <c r="C676"/>
  <c r="P675"/>
  <c r="P667" s="1"/>
  <c r="O675"/>
  <c r="O667" s="1"/>
  <c r="N675"/>
  <c r="M675"/>
  <c r="L675"/>
  <c r="G675"/>
  <c r="G667" s="1"/>
  <c r="F675"/>
  <c r="D675"/>
  <c r="L674"/>
  <c r="C674"/>
  <c r="L673"/>
  <c r="L1513" s="1"/>
  <c r="C673"/>
  <c r="C1513" s="1"/>
  <c r="M672"/>
  <c r="L672"/>
  <c r="D672"/>
  <c r="D1512" s="1"/>
  <c r="C672"/>
  <c r="L671"/>
  <c r="C671"/>
  <c r="L670"/>
  <c r="L1510" s="1"/>
  <c r="C670"/>
  <c r="C1510" s="1"/>
  <c r="L669"/>
  <c r="C669"/>
  <c r="L668"/>
  <c r="L1508" s="1"/>
  <c r="C668"/>
  <c r="C1508" s="1"/>
  <c r="N667"/>
  <c r="M667"/>
  <c r="F667"/>
  <c r="P664"/>
  <c r="P1954" s="1"/>
  <c r="O664"/>
  <c r="O1954" s="1"/>
  <c r="N664"/>
  <c r="N1954" s="1"/>
  <c r="G664"/>
  <c r="G1954" s="1"/>
  <c r="P663"/>
  <c r="P1953" s="1"/>
  <c r="O663"/>
  <c r="O1953" s="1"/>
  <c r="N663"/>
  <c r="N1953" s="1"/>
  <c r="M663"/>
  <c r="M1953" s="1"/>
  <c r="G663"/>
  <c r="G1953" s="1"/>
  <c r="F663"/>
  <c r="F1953" s="1"/>
  <c r="E663"/>
  <c r="E1953" s="1"/>
  <c r="D663"/>
  <c r="D1953" s="1"/>
  <c r="P662"/>
  <c r="P1952" s="1"/>
  <c r="O662"/>
  <c r="O1952" s="1"/>
  <c r="N662"/>
  <c r="N1952" s="1"/>
  <c r="M662"/>
  <c r="M1952" s="1"/>
  <c r="G662"/>
  <c r="G1952" s="1"/>
  <c r="F662"/>
  <c r="F1952" s="1"/>
  <c r="E662"/>
  <c r="E1952" s="1"/>
  <c r="D662"/>
  <c r="P661"/>
  <c r="P1951" s="1"/>
  <c r="O661"/>
  <c r="O1951" s="1"/>
  <c r="N661"/>
  <c r="N1951" s="1"/>
  <c r="G661"/>
  <c r="G1951" s="1"/>
  <c r="P660"/>
  <c r="P1950" s="1"/>
  <c r="O660"/>
  <c r="O1950" s="1"/>
  <c r="N660"/>
  <c r="N1950" s="1"/>
  <c r="G660"/>
  <c r="G1950" s="1"/>
  <c r="F660"/>
  <c r="F1950" s="1"/>
  <c r="E660"/>
  <c r="E1950" s="1"/>
  <c r="P659"/>
  <c r="P1949" s="1"/>
  <c r="O659"/>
  <c r="O1949" s="1"/>
  <c r="N659"/>
  <c r="N1949" s="1"/>
  <c r="M659"/>
  <c r="M1949" s="1"/>
  <c r="G659"/>
  <c r="G1949" s="1"/>
  <c r="F659"/>
  <c r="F1949" s="1"/>
  <c r="E659"/>
  <c r="E1949" s="1"/>
  <c r="D659"/>
  <c r="D1949" s="1"/>
  <c r="P658"/>
  <c r="P1948" s="1"/>
  <c r="P1947" s="1"/>
  <c r="O658"/>
  <c r="O1948" s="1"/>
  <c r="O1947" s="1"/>
  <c r="N658"/>
  <c r="N1948" s="1"/>
  <c r="G658"/>
  <c r="G1948" s="1"/>
  <c r="G1947" s="1"/>
  <c r="F658"/>
  <c r="F1948" s="1"/>
  <c r="E658"/>
  <c r="E1948" s="1"/>
  <c r="N657"/>
  <c r="P656"/>
  <c r="P1946" s="1"/>
  <c r="O656"/>
  <c r="O1946" s="1"/>
  <c r="N656"/>
  <c r="N1946" s="1"/>
  <c r="G656"/>
  <c r="G1946" s="1"/>
  <c r="F656"/>
  <c r="F1946" s="1"/>
  <c r="P655"/>
  <c r="P1945" s="1"/>
  <c r="O655"/>
  <c r="O1945" s="1"/>
  <c r="N655"/>
  <c r="N1945" s="1"/>
  <c r="G655"/>
  <c r="G1945" s="1"/>
  <c r="F655"/>
  <c r="F1945" s="1"/>
  <c r="E655"/>
  <c r="E1945" s="1"/>
  <c r="P654"/>
  <c r="P1944" s="1"/>
  <c r="O654"/>
  <c r="O1944" s="1"/>
  <c r="N654"/>
  <c r="N1944" s="1"/>
  <c r="M654"/>
  <c r="M1944" s="1"/>
  <c r="G654"/>
  <c r="G1944" s="1"/>
  <c r="F654"/>
  <c r="F1944" s="1"/>
  <c r="E654"/>
  <c r="E1944" s="1"/>
  <c r="D654"/>
  <c r="D1944" s="1"/>
  <c r="P653"/>
  <c r="P1943" s="1"/>
  <c r="O653"/>
  <c r="O1943" s="1"/>
  <c r="N653"/>
  <c r="N1943" s="1"/>
  <c r="G653"/>
  <c r="G1943" s="1"/>
  <c r="P652"/>
  <c r="P1942" s="1"/>
  <c r="O652"/>
  <c r="O1942" s="1"/>
  <c r="N652"/>
  <c r="N1942" s="1"/>
  <c r="M652"/>
  <c r="M1942" s="1"/>
  <c r="G652"/>
  <c r="G1942" s="1"/>
  <c r="F652"/>
  <c r="F1942" s="1"/>
  <c r="E652"/>
  <c r="E1942" s="1"/>
  <c r="D652"/>
  <c r="D1942" s="1"/>
  <c r="P651"/>
  <c r="P1941" s="1"/>
  <c r="O651"/>
  <c r="O1941" s="1"/>
  <c r="N651"/>
  <c r="N1941" s="1"/>
  <c r="G651"/>
  <c r="G1941" s="1"/>
  <c r="F651"/>
  <c r="F1941" s="1"/>
  <c r="P650"/>
  <c r="P1940" s="1"/>
  <c r="O650"/>
  <c r="O1940" s="1"/>
  <c r="N650"/>
  <c r="N1940" s="1"/>
  <c r="M650"/>
  <c r="M1940" s="1"/>
  <c r="G650"/>
  <c r="G1940" s="1"/>
  <c r="F650"/>
  <c r="F1940" s="1"/>
  <c r="E650"/>
  <c r="E1940" s="1"/>
  <c r="D650"/>
  <c r="D1940" s="1"/>
  <c r="P649"/>
  <c r="P1939" s="1"/>
  <c r="O649"/>
  <c r="O1939" s="1"/>
  <c r="N649"/>
  <c r="N1939" s="1"/>
  <c r="M649"/>
  <c r="M1939" s="1"/>
  <c r="G649"/>
  <c r="G1939" s="1"/>
  <c r="F649"/>
  <c r="F1939" s="1"/>
  <c r="E649"/>
  <c r="E1939" s="1"/>
  <c r="D649"/>
  <c r="D1939" s="1"/>
  <c r="P648"/>
  <c r="P1938" s="1"/>
  <c r="O648"/>
  <c r="O1938" s="1"/>
  <c r="N648"/>
  <c r="N1938" s="1"/>
  <c r="G648"/>
  <c r="G1938" s="1"/>
  <c r="F648"/>
  <c r="F1938" s="1"/>
  <c r="P647"/>
  <c r="P1937" s="1"/>
  <c r="O647"/>
  <c r="O1937" s="1"/>
  <c r="N647"/>
  <c r="N1937" s="1"/>
  <c r="M647"/>
  <c r="M1937" s="1"/>
  <c r="G647"/>
  <c r="G1937" s="1"/>
  <c r="F647"/>
  <c r="F1937" s="1"/>
  <c r="E647"/>
  <c r="E1937" s="1"/>
  <c r="D647"/>
  <c r="D1937" s="1"/>
  <c r="P646"/>
  <c r="P1936" s="1"/>
  <c r="P1935" s="1"/>
  <c r="O646"/>
  <c r="O1936" s="1"/>
  <c r="O1935" s="1"/>
  <c r="N646"/>
  <c r="N1936" s="1"/>
  <c r="M646"/>
  <c r="M1936" s="1"/>
  <c r="G646"/>
  <c r="G1936" s="1"/>
  <c r="G1935" s="1"/>
  <c r="F646"/>
  <c r="F1936" s="1"/>
  <c r="E646"/>
  <c r="E1936" s="1"/>
  <c r="D646"/>
  <c r="D1936" s="1"/>
  <c r="N645"/>
  <c r="F645"/>
  <c r="P644"/>
  <c r="P1934" s="1"/>
  <c r="O644"/>
  <c r="O1934" s="1"/>
  <c r="N644"/>
  <c r="N1934" s="1"/>
  <c r="M644"/>
  <c r="M1934" s="1"/>
  <c r="G644"/>
  <c r="G1934" s="1"/>
  <c r="F644"/>
  <c r="F1934" s="1"/>
  <c r="E644"/>
  <c r="E1934" s="1"/>
  <c r="D644"/>
  <c r="D1934" s="1"/>
  <c r="P643"/>
  <c r="P1933" s="1"/>
  <c r="O643"/>
  <c r="O1933" s="1"/>
  <c r="N643"/>
  <c r="N1933" s="1"/>
  <c r="G643"/>
  <c r="G1933" s="1"/>
  <c r="F643"/>
  <c r="F1933" s="1"/>
  <c r="E643"/>
  <c r="E1933" s="1"/>
  <c r="P642"/>
  <c r="P1932" s="1"/>
  <c r="O642"/>
  <c r="O1932" s="1"/>
  <c r="N642"/>
  <c r="N1932" s="1"/>
  <c r="G642"/>
  <c r="G1932" s="1"/>
  <c r="P641"/>
  <c r="P1931" s="1"/>
  <c r="O641"/>
  <c r="O1931" s="1"/>
  <c r="N641"/>
  <c r="N1931" s="1"/>
  <c r="M641"/>
  <c r="M1931" s="1"/>
  <c r="G641"/>
  <c r="G1931" s="1"/>
  <c r="F641"/>
  <c r="F1931" s="1"/>
  <c r="E641"/>
  <c r="D641"/>
  <c r="D1931" s="1"/>
  <c r="P640"/>
  <c r="P1930" s="1"/>
  <c r="O640"/>
  <c r="O1930" s="1"/>
  <c r="N640"/>
  <c r="N1930" s="1"/>
  <c r="M640"/>
  <c r="M1930" s="1"/>
  <c r="G640"/>
  <c r="G1930" s="1"/>
  <c r="F640"/>
  <c r="F1930" s="1"/>
  <c r="E640"/>
  <c r="E1930" s="1"/>
  <c r="D640"/>
  <c r="D1930" s="1"/>
  <c r="P639"/>
  <c r="P1929" s="1"/>
  <c r="O639"/>
  <c r="O1929" s="1"/>
  <c r="N639"/>
  <c r="N1929" s="1"/>
  <c r="G639"/>
  <c r="G1929" s="1"/>
  <c r="P638"/>
  <c r="P1928" s="1"/>
  <c r="P1927" s="1"/>
  <c r="O638"/>
  <c r="O1928" s="1"/>
  <c r="O1927" s="1"/>
  <c r="N638"/>
  <c r="N1928" s="1"/>
  <c r="M638"/>
  <c r="M1928" s="1"/>
  <c r="G638"/>
  <c r="G1928" s="1"/>
  <c r="G1927" s="1"/>
  <c r="E638"/>
  <c r="E1928" s="1"/>
  <c r="D638"/>
  <c r="D1928" s="1"/>
  <c r="N637"/>
  <c r="K637"/>
  <c r="K1927" s="1"/>
  <c r="J637"/>
  <c r="J1927" s="1"/>
  <c r="I637"/>
  <c r="I1927" s="1"/>
  <c r="H637"/>
  <c r="H1927" s="1"/>
  <c r="M634"/>
  <c r="L634"/>
  <c r="D634"/>
  <c r="C634"/>
  <c r="L633"/>
  <c r="C633"/>
  <c r="L632"/>
  <c r="C632"/>
  <c r="M631"/>
  <c r="L631"/>
  <c r="D631"/>
  <c r="C631"/>
  <c r="L630"/>
  <c r="C630"/>
  <c r="L629"/>
  <c r="C629"/>
  <c r="M628"/>
  <c r="M658" s="1"/>
  <c r="L628"/>
  <c r="D628"/>
  <c r="D658" s="1"/>
  <c r="C628"/>
  <c r="P627"/>
  <c r="O627"/>
  <c r="N627"/>
  <c r="L627"/>
  <c r="G627"/>
  <c r="F627"/>
  <c r="E627"/>
  <c r="D627"/>
  <c r="C627"/>
  <c r="L626"/>
  <c r="C626"/>
  <c r="L625"/>
  <c r="C625"/>
  <c r="L624"/>
  <c r="C624"/>
  <c r="M623"/>
  <c r="L623"/>
  <c r="D623"/>
  <c r="C623"/>
  <c r="L622"/>
  <c r="C622"/>
  <c r="M621"/>
  <c r="L621"/>
  <c r="D621"/>
  <c r="C621"/>
  <c r="L620"/>
  <c r="C620"/>
  <c r="L619"/>
  <c r="C619"/>
  <c r="L618"/>
  <c r="C618"/>
  <c r="L617"/>
  <c r="C617"/>
  <c r="L616"/>
  <c r="C616"/>
  <c r="P615"/>
  <c r="O615"/>
  <c r="N615"/>
  <c r="M615"/>
  <c r="L615"/>
  <c r="G615"/>
  <c r="F615"/>
  <c r="E615"/>
  <c r="D615"/>
  <c r="C615"/>
  <c r="L614"/>
  <c r="C614"/>
  <c r="M613"/>
  <c r="M643" s="1"/>
  <c r="M1933" s="1"/>
  <c r="L613"/>
  <c r="D613"/>
  <c r="D643" s="1"/>
  <c r="D1933" s="1"/>
  <c r="C613"/>
  <c r="M612"/>
  <c r="L612"/>
  <c r="D612"/>
  <c r="C612"/>
  <c r="L611"/>
  <c r="C611"/>
  <c r="L610"/>
  <c r="C610"/>
  <c r="L609"/>
  <c r="C609"/>
  <c r="L608"/>
  <c r="C608"/>
  <c r="P607"/>
  <c r="O607"/>
  <c r="N607"/>
  <c r="L607"/>
  <c r="G607"/>
  <c r="F607"/>
  <c r="E607"/>
  <c r="D607"/>
  <c r="C607"/>
  <c r="L604"/>
  <c r="C604"/>
  <c r="L603"/>
  <c r="C603"/>
  <c r="L602"/>
  <c r="C602"/>
  <c r="M601"/>
  <c r="M597" s="1"/>
  <c r="M577" s="1"/>
  <c r="L601"/>
  <c r="F601"/>
  <c r="E601"/>
  <c r="D601"/>
  <c r="C601"/>
  <c r="L600"/>
  <c r="C600"/>
  <c r="L599"/>
  <c r="C599"/>
  <c r="L598"/>
  <c r="C598"/>
  <c r="P597"/>
  <c r="P577" s="1"/>
  <c r="O597"/>
  <c r="O577" s="1"/>
  <c r="N597"/>
  <c r="L597"/>
  <c r="G597"/>
  <c r="G577" s="1"/>
  <c r="F597"/>
  <c r="E597"/>
  <c r="D597"/>
  <c r="D577" s="1"/>
  <c r="C597"/>
  <c r="L596"/>
  <c r="C596"/>
  <c r="L595"/>
  <c r="C595"/>
  <c r="L594"/>
  <c r="C594"/>
  <c r="M593"/>
  <c r="L593"/>
  <c r="F593"/>
  <c r="D593"/>
  <c r="C593"/>
  <c r="L592"/>
  <c r="C592"/>
  <c r="M591"/>
  <c r="L591"/>
  <c r="E591"/>
  <c r="C591" s="1"/>
  <c r="D591"/>
  <c r="L590"/>
  <c r="C590"/>
  <c r="L589"/>
  <c r="C589"/>
  <c r="L588"/>
  <c r="C588"/>
  <c r="L587"/>
  <c r="C587"/>
  <c r="L586"/>
  <c r="L585" s="1"/>
  <c r="C586"/>
  <c r="C585" s="1"/>
  <c r="P585"/>
  <c r="O585"/>
  <c r="N585"/>
  <c r="M585"/>
  <c r="G585"/>
  <c r="F585"/>
  <c r="E585"/>
  <c r="D585"/>
  <c r="L584"/>
  <c r="C584"/>
  <c r="L583"/>
  <c r="C583"/>
  <c r="M582"/>
  <c r="L582"/>
  <c r="D582"/>
  <c r="C582"/>
  <c r="L581"/>
  <c r="C581"/>
  <c r="L580"/>
  <c r="C580"/>
  <c r="M579"/>
  <c r="L579"/>
  <c r="D579"/>
  <c r="C579"/>
  <c r="L578"/>
  <c r="L577" s="1"/>
  <c r="C578"/>
  <c r="N577"/>
  <c r="F577"/>
  <c r="E577"/>
  <c r="M574"/>
  <c r="L574"/>
  <c r="D574"/>
  <c r="C574"/>
  <c r="L573"/>
  <c r="C573"/>
  <c r="L572"/>
  <c r="C572"/>
  <c r="M571"/>
  <c r="L571"/>
  <c r="F571"/>
  <c r="D571"/>
  <c r="C571"/>
  <c r="M570"/>
  <c r="M660" s="1"/>
  <c r="M1950" s="1"/>
  <c r="L570"/>
  <c r="D570"/>
  <c r="D660" s="1"/>
  <c r="D1950" s="1"/>
  <c r="C570"/>
  <c r="L569"/>
  <c r="C569"/>
  <c r="L568"/>
  <c r="C568"/>
  <c r="C567" s="1"/>
  <c r="P567"/>
  <c r="O567"/>
  <c r="N567"/>
  <c r="M567"/>
  <c r="L567"/>
  <c r="G567"/>
  <c r="F567"/>
  <c r="E567"/>
  <c r="D567"/>
  <c r="M566"/>
  <c r="L566"/>
  <c r="D566"/>
  <c r="C566"/>
  <c r="M565"/>
  <c r="L565"/>
  <c r="D565"/>
  <c r="C565"/>
  <c r="L564"/>
  <c r="C564"/>
  <c r="M563"/>
  <c r="L563"/>
  <c r="D563"/>
  <c r="C563"/>
  <c r="L562"/>
  <c r="C562"/>
  <c r="M561"/>
  <c r="L561"/>
  <c r="D561"/>
  <c r="C561"/>
  <c r="L560"/>
  <c r="C560"/>
  <c r="L559"/>
  <c r="C559"/>
  <c r="M558"/>
  <c r="L558"/>
  <c r="D558"/>
  <c r="D555" s="1"/>
  <c r="D547" s="1"/>
  <c r="C558"/>
  <c r="L557"/>
  <c r="C557"/>
  <c r="L556"/>
  <c r="L555" s="1"/>
  <c r="L547" s="1"/>
  <c r="C556"/>
  <c r="P555"/>
  <c r="O555"/>
  <c r="O547" s="1"/>
  <c r="N555"/>
  <c r="N547" s="1"/>
  <c r="M555"/>
  <c r="G555"/>
  <c r="G547" s="1"/>
  <c r="F555"/>
  <c r="F547" s="1"/>
  <c r="E555"/>
  <c r="C555"/>
  <c r="L554"/>
  <c r="C554"/>
  <c r="L553"/>
  <c r="C553"/>
  <c r="L552"/>
  <c r="C552"/>
  <c r="L551"/>
  <c r="C551"/>
  <c r="L550"/>
  <c r="C550"/>
  <c r="M549"/>
  <c r="L549"/>
  <c r="D549"/>
  <c r="C549"/>
  <c r="L548"/>
  <c r="C548"/>
  <c r="P547"/>
  <c r="M547"/>
  <c r="E547"/>
  <c r="M544"/>
  <c r="L544"/>
  <c r="D544"/>
  <c r="D537" s="1"/>
  <c r="C544"/>
  <c r="L543"/>
  <c r="C543"/>
  <c r="L542"/>
  <c r="C542"/>
  <c r="L541"/>
  <c r="C541"/>
  <c r="L540"/>
  <c r="C540"/>
  <c r="L539"/>
  <c r="C539"/>
  <c r="L538"/>
  <c r="L537" s="1"/>
  <c r="C538"/>
  <c r="P537"/>
  <c r="O537"/>
  <c r="N537"/>
  <c r="M537"/>
  <c r="G537"/>
  <c r="F537"/>
  <c r="E537"/>
  <c r="C537"/>
  <c r="M536"/>
  <c r="L536"/>
  <c r="D536"/>
  <c r="C536"/>
  <c r="L535"/>
  <c r="C535"/>
  <c r="L534"/>
  <c r="C534"/>
  <c r="M533"/>
  <c r="L533"/>
  <c r="E533"/>
  <c r="D533"/>
  <c r="D517" s="1"/>
  <c r="C533"/>
  <c r="L532"/>
  <c r="C532"/>
  <c r="M531"/>
  <c r="M517" s="1"/>
  <c r="L531"/>
  <c r="E531"/>
  <c r="D531"/>
  <c r="C531"/>
  <c r="L530"/>
  <c r="C530"/>
  <c r="L529"/>
  <c r="C529"/>
  <c r="L528"/>
  <c r="C528"/>
  <c r="L527"/>
  <c r="C527"/>
  <c r="L526"/>
  <c r="L525" s="1"/>
  <c r="C526"/>
  <c r="P525"/>
  <c r="O525"/>
  <c r="N525"/>
  <c r="M525"/>
  <c r="G525"/>
  <c r="F525"/>
  <c r="E525"/>
  <c r="D525"/>
  <c r="C525"/>
  <c r="L524"/>
  <c r="C524"/>
  <c r="L523"/>
  <c r="C523"/>
  <c r="L522"/>
  <c r="C522"/>
  <c r="L521"/>
  <c r="C521"/>
  <c r="L520"/>
  <c r="C520"/>
  <c r="L519"/>
  <c r="C519"/>
  <c r="L518"/>
  <c r="L517" s="1"/>
  <c r="C518"/>
  <c r="P517"/>
  <c r="O517"/>
  <c r="N517"/>
  <c r="G517"/>
  <c r="F517"/>
  <c r="E517"/>
  <c r="C517"/>
  <c r="M514"/>
  <c r="L514"/>
  <c r="F514"/>
  <c r="D514"/>
  <c r="D507" s="1"/>
  <c r="C514"/>
  <c r="L513"/>
  <c r="C513"/>
  <c r="L512"/>
  <c r="C512"/>
  <c r="M511"/>
  <c r="L511"/>
  <c r="F511"/>
  <c r="E511"/>
  <c r="C511" s="1"/>
  <c r="D511"/>
  <c r="L510"/>
  <c r="C510"/>
  <c r="L509"/>
  <c r="C509"/>
  <c r="L508"/>
  <c r="L507" s="1"/>
  <c r="C508"/>
  <c r="C507" s="1"/>
  <c r="P507"/>
  <c r="O507"/>
  <c r="N507"/>
  <c r="M507"/>
  <c r="G507"/>
  <c r="F507"/>
  <c r="E507"/>
  <c r="M506"/>
  <c r="L506"/>
  <c r="D506"/>
  <c r="C506"/>
  <c r="M505"/>
  <c r="L505"/>
  <c r="D505"/>
  <c r="C505"/>
  <c r="L504"/>
  <c r="C504"/>
  <c r="M503"/>
  <c r="L503"/>
  <c r="E503"/>
  <c r="C503" s="1"/>
  <c r="D503"/>
  <c r="L502"/>
  <c r="C502"/>
  <c r="M501"/>
  <c r="L501"/>
  <c r="D501"/>
  <c r="C501"/>
  <c r="L500"/>
  <c r="C500"/>
  <c r="L499"/>
  <c r="C499"/>
  <c r="M498"/>
  <c r="L498"/>
  <c r="D498"/>
  <c r="C498"/>
  <c r="L497"/>
  <c r="C497"/>
  <c r="L496"/>
  <c r="C496"/>
  <c r="C495" s="1"/>
  <c r="P495"/>
  <c r="P487" s="1"/>
  <c r="O495"/>
  <c r="N495"/>
  <c r="M495"/>
  <c r="M487" s="1"/>
  <c r="L495"/>
  <c r="G495"/>
  <c r="F495"/>
  <c r="E495"/>
  <c r="E487" s="1"/>
  <c r="D495"/>
  <c r="D487" s="1"/>
  <c r="L494"/>
  <c r="C494"/>
  <c r="L493"/>
  <c r="C493"/>
  <c r="M492"/>
  <c r="L492"/>
  <c r="F492"/>
  <c r="E492"/>
  <c r="D492"/>
  <c r="C492"/>
  <c r="L491"/>
  <c r="C491"/>
  <c r="L490"/>
  <c r="C490"/>
  <c r="L489"/>
  <c r="E489"/>
  <c r="C489" s="1"/>
  <c r="L488"/>
  <c r="F488"/>
  <c r="C488" s="1"/>
  <c r="O487"/>
  <c r="N487"/>
  <c r="G487"/>
  <c r="F487"/>
  <c r="L484"/>
  <c r="C484"/>
  <c r="L483"/>
  <c r="C483"/>
  <c r="L482"/>
  <c r="C482"/>
  <c r="M481"/>
  <c r="L481"/>
  <c r="F481"/>
  <c r="E481"/>
  <c r="D481"/>
  <c r="C481"/>
  <c r="L480"/>
  <c r="C480"/>
  <c r="L479"/>
  <c r="C479"/>
  <c r="L478"/>
  <c r="L477" s="1"/>
  <c r="C478"/>
  <c r="P477"/>
  <c r="O477"/>
  <c r="N477"/>
  <c r="M477"/>
  <c r="G477"/>
  <c r="F477"/>
  <c r="E477"/>
  <c r="D477"/>
  <c r="C477"/>
  <c r="L476"/>
  <c r="C476"/>
  <c r="M475"/>
  <c r="L475"/>
  <c r="D475"/>
  <c r="C475"/>
  <c r="L474"/>
  <c r="C474"/>
  <c r="M473"/>
  <c r="L473"/>
  <c r="D473"/>
  <c r="C473"/>
  <c r="L472"/>
  <c r="C472"/>
  <c r="L471"/>
  <c r="C471"/>
  <c r="L470"/>
  <c r="C470"/>
  <c r="L469"/>
  <c r="C469"/>
  <c r="L468"/>
  <c r="C468"/>
  <c r="L467"/>
  <c r="C467"/>
  <c r="L466"/>
  <c r="L465" s="1"/>
  <c r="C466"/>
  <c r="P465"/>
  <c r="O465"/>
  <c r="O457" s="1"/>
  <c r="N465"/>
  <c r="M465"/>
  <c r="G465"/>
  <c r="G457" s="1"/>
  <c r="F465"/>
  <c r="E465"/>
  <c r="D465"/>
  <c r="C465"/>
  <c r="L464"/>
  <c r="C464"/>
  <c r="L463"/>
  <c r="C463"/>
  <c r="M462"/>
  <c r="L462"/>
  <c r="E462"/>
  <c r="D462"/>
  <c r="D457" s="1"/>
  <c r="C462"/>
  <c r="L461"/>
  <c r="C461"/>
  <c r="L460"/>
  <c r="C460"/>
  <c r="L459"/>
  <c r="C459"/>
  <c r="L458"/>
  <c r="L457" s="1"/>
  <c r="C458"/>
  <c r="C457" s="1"/>
  <c r="P457"/>
  <c r="N457"/>
  <c r="M457"/>
  <c r="F457"/>
  <c r="E457"/>
  <c r="L454"/>
  <c r="F454"/>
  <c r="C454" s="1"/>
  <c r="C447" s="1"/>
  <c r="C427" s="1"/>
  <c r="L453"/>
  <c r="C453"/>
  <c r="L452"/>
  <c r="C452"/>
  <c r="L451"/>
  <c r="C451"/>
  <c r="L450"/>
  <c r="C450"/>
  <c r="L449"/>
  <c r="C449"/>
  <c r="L448"/>
  <c r="L447" s="1"/>
  <c r="C448"/>
  <c r="P447"/>
  <c r="O447"/>
  <c r="N447"/>
  <c r="M447"/>
  <c r="G447"/>
  <c r="F447"/>
  <c r="E447"/>
  <c r="D447"/>
  <c r="L446"/>
  <c r="C446"/>
  <c r="L445"/>
  <c r="C445"/>
  <c r="L444"/>
  <c r="C444"/>
  <c r="L443"/>
  <c r="C443"/>
  <c r="L442"/>
  <c r="C442"/>
  <c r="L441"/>
  <c r="C441"/>
  <c r="L440"/>
  <c r="C440"/>
  <c r="L439"/>
  <c r="C439"/>
  <c r="L438"/>
  <c r="C438"/>
  <c r="L437"/>
  <c r="C437"/>
  <c r="L436"/>
  <c r="L435" s="1"/>
  <c r="C436"/>
  <c r="P435"/>
  <c r="O435"/>
  <c r="N435"/>
  <c r="M435"/>
  <c r="G435"/>
  <c r="F435"/>
  <c r="E435"/>
  <c r="D435"/>
  <c r="C435"/>
  <c r="L434"/>
  <c r="C434"/>
  <c r="L433"/>
  <c r="C433"/>
  <c r="L432"/>
  <c r="C432"/>
  <c r="L431"/>
  <c r="C431"/>
  <c r="L430"/>
  <c r="C430"/>
  <c r="L429"/>
  <c r="C429"/>
  <c r="L428"/>
  <c r="L427" s="1"/>
  <c r="C428"/>
  <c r="P427"/>
  <c r="O427"/>
  <c r="N427"/>
  <c r="M427"/>
  <c r="G427"/>
  <c r="F427"/>
  <c r="E427"/>
  <c r="D427"/>
  <c r="L424"/>
  <c r="C424"/>
  <c r="L423"/>
  <c r="C423"/>
  <c r="L422"/>
  <c r="C422"/>
  <c r="L421"/>
  <c r="C421"/>
  <c r="L420"/>
  <c r="C420"/>
  <c r="L419"/>
  <c r="C419"/>
  <c r="L418"/>
  <c r="L417" s="1"/>
  <c r="C418"/>
  <c r="P417"/>
  <c r="O417"/>
  <c r="N417"/>
  <c r="M417"/>
  <c r="G417"/>
  <c r="F417"/>
  <c r="E417"/>
  <c r="D417"/>
  <c r="C417"/>
  <c r="L416"/>
  <c r="C416"/>
  <c r="L415"/>
  <c r="C415"/>
  <c r="L414"/>
  <c r="C414"/>
  <c r="L413"/>
  <c r="C413"/>
  <c r="L412"/>
  <c r="C412"/>
  <c r="L411"/>
  <c r="C411"/>
  <c r="L410"/>
  <c r="C410"/>
  <c r="L409"/>
  <c r="C409"/>
  <c r="L408"/>
  <c r="C408"/>
  <c r="L407"/>
  <c r="C407"/>
  <c r="L406"/>
  <c r="L405" s="1"/>
  <c r="L397" s="1"/>
  <c r="C406"/>
  <c r="P405"/>
  <c r="O405"/>
  <c r="O397" s="1"/>
  <c r="N405"/>
  <c r="N397" s="1"/>
  <c r="M405"/>
  <c r="G405"/>
  <c r="G397" s="1"/>
  <c r="F405"/>
  <c r="F397" s="1"/>
  <c r="E405"/>
  <c r="D405"/>
  <c r="C405"/>
  <c r="L404"/>
  <c r="C404"/>
  <c r="L403"/>
  <c r="C403"/>
  <c r="M402"/>
  <c r="L402"/>
  <c r="D402"/>
  <c r="C402"/>
  <c r="L401"/>
  <c r="C401"/>
  <c r="L400"/>
  <c r="C400"/>
  <c r="L399"/>
  <c r="C399"/>
  <c r="L398"/>
  <c r="C398"/>
  <c r="C397" s="1"/>
  <c r="P397"/>
  <c r="M397"/>
  <c r="E397"/>
  <c r="D397"/>
  <c r="M394"/>
  <c r="L394"/>
  <c r="F394"/>
  <c r="C394" s="1"/>
  <c r="D394"/>
  <c r="L393"/>
  <c r="C393"/>
  <c r="L392"/>
  <c r="C392"/>
  <c r="L391"/>
  <c r="F391"/>
  <c r="E391"/>
  <c r="C391" s="1"/>
  <c r="L390"/>
  <c r="C390"/>
  <c r="L389"/>
  <c r="C389"/>
  <c r="L388"/>
  <c r="L387" s="1"/>
  <c r="L367" s="1"/>
  <c r="C388"/>
  <c r="C387" s="1"/>
  <c r="P387"/>
  <c r="O387"/>
  <c r="N387"/>
  <c r="N367" s="1"/>
  <c r="M387"/>
  <c r="G387"/>
  <c r="F387"/>
  <c r="E387"/>
  <c r="D387"/>
  <c r="L386"/>
  <c r="C386"/>
  <c r="L385"/>
  <c r="C385"/>
  <c r="L384"/>
  <c r="C384"/>
  <c r="M383"/>
  <c r="L383"/>
  <c r="E383"/>
  <c r="C383" s="1"/>
  <c r="D383"/>
  <c r="L382"/>
  <c r="C382"/>
  <c r="L381"/>
  <c r="E381"/>
  <c r="C381" s="1"/>
  <c r="L380"/>
  <c r="C380"/>
  <c r="L379"/>
  <c r="C379"/>
  <c r="M378"/>
  <c r="M375" s="1"/>
  <c r="L378"/>
  <c r="D378"/>
  <c r="C378"/>
  <c r="L377"/>
  <c r="C377"/>
  <c r="L376"/>
  <c r="C376"/>
  <c r="P375"/>
  <c r="O375"/>
  <c r="N375"/>
  <c r="L375"/>
  <c r="G375"/>
  <c r="F375"/>
  <c r="E375"/>
  <c r="D375"/>
  <c r="C375"/>
  <c r="L374"/>
  <c r="C374"/>
  <c r="L373"/>
  <c r="C373"/>
  <c r="M372"/>
  <c r="L372"/>
  <c r="F372"/>
  <c r="F367" s="1"/>
  <c r="E372"/>
  <c r="C372" s="1"/>
  <c r="D372"/>
  <c r="L371"/>
  <c r="C371"/>
  <c r="L370"/>
  <c r="C370"/>
  <c r="M369"/>
  <c r="L369"/>
  <c r="F369"/>
  <c r="F639" s="1"/>
  <c r="F1929" s="1"/>
  <c r="E369"/>
  <c r="D369"/>
  <c r="C369"/>
  <c r="L368"/>
  <c r="C368"/>
  <c r="P367"/>
  <c r="O367"/>
  <c r="G367"/>
  <c r="D367"/>
  <c r="M364"/>
  <c r="L364"/>
  <c r="D364"/>
  <c r="D357" s="1"/>
  <c r="D337" s="1"/>
  <c r="C364"/>
  <c r="L363"/>
  <c r="C363"/>
  <c r="L362"/>
  <c r="C362"/>
  <c r="L361"/>
  <c r="C361"/>
  <c r="L360"/>
  <c r="C360"/>
  <c r="L359"/>
  <c r="C359"/>
  <c r="L358"/>
  <c r="L357" s="1"/>
  <c r="C358"/>
  <c r="C357" s="1"/>
  <c r="P357"/>
  <c r="O357"/>
  <c r="N357"/>
  <c r="M357"/>
  <c r="G357"/>
  <c r="F357"/>
  <c r="E357"/>
  <c r="M356"/>
  <c r="L356"/>
  <c r="D356"/>
  <c r="C356"/>
  <c r="L355"/>
  <c r="C355"/>
  <c r="L354"/>
  <c r="C354"/>
  <c r="L353"/>
  <c r="E353"/>
  <c r="C353" s="1"/>
  <c r="L352"/>
  <c r="C352"/>
  <c r="L351"/>
  <c r="C351"/>
  <c r="L350"/>
  <c r="C350"/>
  <c r="L349"/>
  <c r="C349"/>
  <c r="L348"/>
  <c r="E348"/>
  <c r="C348" s="1"/>
  <c r="L347"/>
  <c r="C347"/>
  <c r="L346"/>
  <c r="L345" s="1"/>
  <c r="C346"/>
  <c r="C345" s="1"/>
  <c r="P345"/>
  <c r="O345"/>
  <c r="N345"/>
  <c r="M345"/>
  <c r="G345"/>
  <c r="F345"/>
  <c r="D345"/>
  <c r="L344"/>
  <c r="C344"/>
  <c r="L343"/>
  <c r="C343"/>
  <c r="M342"/>
  <c r="L342"/>
  <c r="D342"/>
  <c r="C342"/>
  <c r="L341"/>
  <c r="C341"/>
  <c r="L340"/>
  <c r="C340"/>
  <c r="M339"/>
  <c r="M337" s="1"/>
  <c r="L339"/>
  <c r="D339"/>
  <c r="C339"/>
  <c r="L338"/>
  <c r="L337" s="1"/>
  <c r="C338"/>
  <c r="P337"/>
  <c r="O337"/>
  <c r="N337"/>
  <c r="G337"/>
  <c r="F337"/>
  <c r="M334"/>
  <c r="L334"/>
  <c r="D334"/>
  <c r="C334"/>
  <c r="L333"/>
  <c r="C333"/>
  <c r="L332"/>
  <c r="C332"/>
  <c r="M331"/>
  <c r="M327" s="1"/>
  <c r="M307" s="1"/>
  <c r="L331"/>
  <c r="D331"/>
  <c r="C331"/>
  <c r="L330"/>
  <c r="C330"/>
  <c r="L329"/>
  <c r="C329"/>
  <c r="L328"/>
  <c r="L327" s="1"/>
  <c r="C328"/>
  <c r="C327" s="1"/>
  <c r="P327"/>
  <c r="O327"/>
  <c r="N327"/>
  <c r="G327"/>
  <c r="F327"/>
  <c r="E327"/>
  <c r="D327"/>
  <c r="L326"/>
  <c r="C326"/>
  <c r="L325"/>
  <c r="C325"/>
  <c r="L324"/>
  <c r="C324"/>
  <c r="L323"/>
  <c r="C323"/>
  <c r="L322"/>
  <c r="C322"/>
  <c r="L321"/>
  <c r="E321"/>
  <c r="C321"/>
  <c r="L320"/>
  <c r="C320"/>
  <c r="L319"/>
  <c r="C319"/>
  <c r="L318"/>
  <c r="C318"/>
  <c r="L317"/>
  <c r="C317"/>
  <c r="L316"/>
  <c r="L315" s="1"/>
  <c r="C316"/>
  <c r="P315"/>
  <c r="O315"/>
  <c r="O307" s="1"/>
  <c r="N315"/>
  <c r="M315"/>
  <c r="G315"/>
  <c r="G307" s="1"/>
  <c r="F315"/>
  <c r="E315"/>
  <c r="D315"/>
  <c r="C315"/>
  <c r="L314"/>
  <c r="C314"/>
  <c r="L313"/>
  <c r="C313"/>
  <c r="M312"/>
  <c r="L312"/>
  <c r="E312"/>
  <c r="D312"/>
  <c r="D307" s="1"/>
  <c r="C312"/>
  <c r="L311"/>
  <c r="C311"/>
  <c r="L310"/>
  <c r="C310"/>
  <c r="L309"/>
  <c r="C309"/>
  <c r="L308"/>
  <c r="C308"/>
  <c r="C307" s="1"/>
  <c r="P307"/>
  <c r="N307"/>
  <c r="F307"/>
  <c r="E307"/>
  <c r="L304"/>
  <c r="C304"/>
  <c r="L303"/>
  <c r="C303"/>
  <c r="L302"/>
  <c r="C302"/>
  <c r="L301"/>
  <c r="C301"/>
  <c r="L300"/>
  <c r="C300"/>
  <c r="L299"/>
  <c r="C299"/>
  <c r="L298"/>
  <c r="L297" s="1"/>
  <c r="C298"/>
  <c r="C297" s="1"/>
  <c r="C277" s="1"/>
  <c r="P297"/>
  <c r="O297"/>
  <c r="N297"/>
  <c r="M297"/>
  <c r="M277" s="1"/>
  <c r="G297"/>
  <c r="F297"/>
  <c r="E297"/>
  <c r="E277" s="1"/>
  <c r="D297"/>
  <c r="L296"/>
  <c r="C296"/>
  <c r="L295"/>
  <c r="C295"/>
  <c r="L294"/>
  <c r="C294"/>
  <c r="L293"/>
  <c r="C293"/>
  <c r="L292"/>
  <c r="C292"/>
  <c r="L291"/>
  <c r="E291"/>
  <c r="C291"/>
  <c r="L290"/>
  <c r="C290"/>
  <c r="L289"/>
  <c r="C289"/>
  <c r="L288"/>
  <c r="C288"/>
  <c r="L287"/>
  <c r="C287"/>
  <c r="L286"/>
  <c r="L285" s="1"/>
  <c r="C286"/>
  <c r="P285"/>
  <c r="O285"/>
  <c r="N285"/>
  <c r="M285"/>
  <c r="G285"/>
  <c r="F285"/>
  <c r="E285"/>
  <c r="D285"/>
  <c r="C285"/>
  <c r="L284"/>
  <c r="C284"/>
  <c r="L283"/>
  <c r="C283"/>
  <c r="L282"/>
  <c r="C282"/>
  <c r="L281"/>
  <c r="C281"/>
  <c r="L280"/>
  <c r="C280"/>
  <c r="L279"/>
  <c r="C279"/>
  <c r="L278"/>
  <c r="C278"/>
  <c r="P277"/>
  <c r="O277"/>
  <c r="N277"/>
  <c r="G277"/>
  <c r="F277"/>
  <c r="D277"/>
  <c r="M274"/>
  <c r="L274"/>
  <c r="F274"/>
  <c r="F664" s="1"/>
  <c r="F1954" s="1"/>
  <c r="D274"/>
  <c r="D267" s="1"/>
  <c r="D247" s="1"/>
  <c r="C274"/>
  <c r="L273"/>
  <c r="C273"/>
  <c r="L272"/>
  <c r="C272"/>
  <c r="M271"/>
  <c r="L271"/>
  <c r="F271"/>
  <c r="E271"/>
  <c r="C271" s="1"/>
  <c r="D271"/>
  <c r="L270"/>
  <c r="C270"/>
  <c r="L269"/>
  <c r="C269"/>
  <c r="L268"/>
  <c r="L267" s="1"/>
  <c r="C268"/>
  <c r="C267" s="1"/>
  <c r="P267"/>
  <c r="O267"/>
  <c r="N267"/>
  <c r="M267"/>
  <c r="G267"/>
  <c r="F267"/>
  <c r="E267"/>
  <c r="M266"/>
  <c r="L266"/>
  <c r="D266"/>
  <c r="C266"/>
  <c r="L265"/>
  <c r="C265"/>
  <c r="L264"/>
  <c r="C264"/>
  <c r="M263"/>
  <c r="L263"/>
  <c r="E263"/>
  <c r="D263"/>
  <c r="C263"/>
  <c r="L262"/>
  <c r="C262"/>
  <c r="M261"/>
  <c r="L261"/>
  <c r="E261"/>
  <c r="C261" s="1"/>
  <c r="D261"/>
  <c r="L260"/>
  <c r="C260"/>
  <c r="L259"/>
  <c r="C259"/>
  <c r="L258"/>
  <c r="C258"/>
  <c r="L257"/>
  <c r="C257"/>
  <c r="L256"/>
  <c r="L255" s="1"/>
  <c r="C256"/>
  <c r="C255" s="1"/>
  <c r="C247" s="1"/>
  <c r="P255"/>
  <c r="O255"/>
  <c r="N255"/>
  <c r="N247" s="1"/>
  <c r="M255"/>
  <c r="M247" s="1"/>
  <c r="G255"/>
  <c r="F255"/>
  <c r="F247" s="1"/>
  <c r="E255"/>
  <c r="E247" s="1"/>
  <c r="D255"/>
  <c r="L254"/>
  <c r="C254"/>
  <c r="L253"/>
  <c r="C253"/>
  <c r="L252"/>
  <c r="C252"/>
  <c r="L251"/>
  <c r="C251"/>
  <c r="L250"/>
  <c r="C250"/>
  <c r="L249"/>
  <c r="E249"/>
  <c r="C249"/>
  <c r="L248"/>
  <c r="L247" s="1"/>
  <c r="C248"/>
  <c r="P247"/>
  <c r="O247"/>
  <c r="G247"/>
  <c r="M244"/>
  <c r="L244"/>
  <c r="D244"/>
  <c r="C244"/>
  <c r="L243"/>
  <c r="C243"/>
  <c r="L242"/>
  <c r="C242"/>
  <c r="C237" s="1"/>
  <c r="M241"/>
  <c r="M237" s="1"/>
  <c r="M217" s="1"/>
  <c r="L241"/>
  <c r="F241"/>
  <c r="D241"/>
  <c r="C241"/>
  <c r="L240"/>
  <c r="C240"/>
  <c r="L239"/>
  <c r="C239"/>
  <c r="L238"/>
  <c r="C238"/>
  <c r="P237"/>
  <c r="O237"/>
  <c r="N237"/>
  <c r="L237"/>
  <c r="G237"/>
  <c r="F237"/>
  <c r="E237"/>
  <c r="D237"/>
  <c r="M236"/>
  <c r="L236"/>
  <c r="D236"/>
  <c r="C236"/>
  <c r="L235"/>
  <c r="C235"/>
  <c r="L234"/>
  <c r="C234"/>
  <c r="L233"/>
  <c r="C233"/>
  <c r="L232"/>
  <c r="C232"/>
  <c r="M231"/>
  <c r="L231"/>
  <c r="D231"/>
  <c r="C231"/>
  <c r="L230"/>
  <c r="C230"/>
  <c r="L229"/>
  <c r="C229"/>
  <c r="L228"/>
  <c r="C228"/>
  <c r="L227"/>
  <c r="C227"/>
  <c r="L226"/>
  <c r="C226"/>
  <c r="P225"/>
  <c r="P217" s="1"/>
  <c r="O225"/>
  <c r="O217" s="1"/>
  <c r="N225"/>
  <c r="M225"/>
  <c r="L225"/>
  <c r="G225"/>
  <c r="G217" s="1"/>
  <c r="F225"/>
  <c r="E225"/>
  <c r="D225"/>
  <c r="C225"/>
  <c r="L224"/>
  <c r="C224"/>
  <c r="L223"/>
  <c r="C223"/>
  <c r="M222"/>
  <c r="L222"/>
  <c r="D222"/>
  <c r="D217" s="1"/>
  <c r="C222"/>
  <c r="L221"/>
  <c r="C221"/>
  <c r="L220"/>
  <c r="C220"/>
  <c r="L219"/>
  <c r="C219"/>
  <c r="L218"/>
  <c r="L217" s="1"/>
  <c r="C218"/>
  <c r="N217"/>
  <c r="F217"/>
  <c r="E217"/>
  <c r="L214"/>
  <c r="C214"/>
  <c r="L213"/>
  <c r="C213"/>
  <c r="L212"/>
  <c r="L207" s="1"/>
  <c r="C212"/>
  <c r="M211"/>
  <c r="L211"/>
  <c r="F211"/>
  <c r="C211" s="1"/>
  <c r="D211"/>
  <c r="L210"/>
  <c r="C210"/>
  <c r="L209"/>
  <c r="C209"/>
  <c r="L208"/>
  <c r="C208"/>
  <c r="C207" s="1"/>
  <c r="P207"/>
  <c r="O207"/>
  <c r="N207"/>
  <c r="M207"/>
  <c r="G207"/>
  <c r="E207"/>
  <c r="E187" s="1"/>
  <c r="D207"/>
  <c r="L206"/>
  <c r="C206"/>
  <c r="M205"/>
  <c r="M187" s="1"/>
  <c r="L205"/>
  <c r="D205"/>
  <c r="C205"/>
  <c r="L204"/>
  <c r="C204"/>
  <c r="M203"/>
  <c r="L203"/>
  <c r="F203"/>
  <c r="C203" s="1"/>
  <c r="D203"/>
  <c r="L202"/>
  <c r="C202"/>
  <c r="M201"/>
  <c r="L201"/>
  <c r="D201"/>
  <c r="C201"/>
  <c r="L200"/>
  <c r="C200"/>
  <c r="L199"/>
  <c r="C199"/>
  <c r="L198"/>
  <c r="C198"/>
  <c r="L197"/>
  <c r="C197"/>
  <c r="L196"/>
  <c r="C196"/>
  <c r="P195"/>
  <c r="P187" s="1"/>
  <c r="O195"/>
  <c r="N195"/>
  <c r="M195"/>
  <c r="L195"/>
  <c r="G195"/>
  <c r="F195"/>
  <c r="E195"/>
  <c r="D195"/>
  <c r="C195"/>
  <c r="L194"/>
  <c r="C194"/>
  <c r="L193"/>
  <c r="C193"/>
  <c r="M192"/>
  <c r="L192"/>
  <c r="D192"/>
  <c r="D187" s="1"/>
  <c r="C192"/>
  <c r="L191"/>
  <c r="C191"/>
  <c r="L190"/>
  <c r="C190"/>
  <c r="L189"/>
  <c r="C189"/>
  <c r="L188"/>
  <c r="L187" s="1"/>
  <c r="F188"/>
  <c r="F638" s="1"/>
  <c r="O187"/>
  <c r="N187"/>
  <c r="G187"/>
  <c r="M184"/>
  <c r="L184"/>
  <c r="D184"/>
  <c r="C184"/>
  <c r="L183"/>
  <c r="C183"/>
  <c r="L182"/>
  <c r="C182"/>
  <c r="C177" s="1"/>
  <c r="M181"/>
  <c r="M177" s="1"/>
  <c r="M157" s="1"/>
  <c r="L181"/>
  <c r="F181"/>
  <c r="D181"/>
  <c r="C181"/>
  <c r="L180"/>
  <c r="C180"/>
  <c r="L179"/>
  <c r="C179"/>
  <c r="L178"/>
  <c r="C178"/>
  <c r="P177"/>
  <c r="O177"/>
  <c r="N177"/>
  <c r="L177"/>
  <c r="G177"/>
  <c r="F177"/>
  <c r="E177"/>
  <c r="D177"/>
  <c r="M176"/>
  <c r="L176"/>
  <c r="D176"/>
  <c r="C176"/>
  <c r="L175"/>
  <c r="C175"/>
  <c r="L174"/>
  <c r="C174"/>
  <c r="M173"/>
  <c r="L173"/>
  <c r="F173"/>
  <c r="F157" s="1"/>
  <c r="E173"/>
  <c r="C173" s="1"/>
  <c r="C157" s="1"/>
  <c r="D173"/>
  <c r="L172"/>
  <c r="C172"/>
  <c r="M171"/>
  <c r="L171"/>
  <c r="D171"/>
  <c r="C171"/>
  <c r="L170"/>
  <c r="C170"/>
  <c r="L169"/>
  <c r="C169"/>
  <c r="L168"/>
  <c r="C168"/>
  <c r="L167"/>
  <c r="C167"/>
  <c r="L166"/>
  <c r="C166"/>
  <c r="P165"/>
  <c r="O165"/>
  <c r="N165"/>
  <c r="M165"/>
  <c r="L165"/>
  <c r="G165"/>
  <c r="F165"/>
  <c r="E165"/>
  <c r="D165"/>
  <c r="C165"/>
  <c r="L164"/>
  <c r="C164"/>
  <c r="L163"/>
  <c r="C163"/>
  <c r="M162"/>
  <c r="L162"/>
  <c r="D162"/>
  <c r="C162"/>
  <c r="L161"/>
  <c r="C161"/>
  <c r="L160"/>
  <c r="C160"/>
  <c r="M159"/>
  <c r="L159"/>
  <c r="D159"/>
  <c r="C159"/>
  <c r="L158"/>
  <c r="C158"/>
  <c r="P157"/>
  <c r="O157"/>
  <c r="N157"/>
  <c r="L157"/>
  <c r="G157"/>
  <c r="D157"/>
  <c r="L153"/>
  <c r="E153"/>
  <c r="C153"/>
  <c r="L152"/>
  <c r="C152"/>
  <c r="L151"/>
  <c r="C151"/>
  <c r="L150"/>
  <c r="E150"/>
  <c r="C150"/>
  <c r="L149"/>
  <c r="C149"/>
  <c r="L148"/>
  <c r="C148"/>
  <c r="L147"/>
  <c r="L146" s="1"/>
  <c r="C147"/>
  <c r="C146" s="1"/>
  <c r="P146"/>
  <c r="O146"/>
  <c r="N146"/>
  <c r="M146"/>
  <c r="G146"/>
  <c r="F146"/>
  <c r="E146"/>
  <c r="D146"/>
  <c r="L145"/>
  <c r="E145"/>
  <c r="C145" s="1"/>
  <c r="L144"/>
  <c r="C144"/>
  <c r="L143"/>
  <c r="C143"/>
  <c r="L142"/>
  <c r="E142"/>
  <c r="C142" s="1"/>
  <c r="L141"/>
  <c r="C141"/>
  <c r="M140"/>
  <c r="L140"/>
  <c r="E140"/>
  <c r="D140"/>
  <c r="C140"/>
  <c r="L139"/>
  <c r="C139"/>
  <c r="L138"/>
  <c r="C138"/>
  <c r="L137"/>
  <c r="C137"/>
  <c r="L136"/>
  <c r="C136"/>
  <c r="L135"/>
  <c r="L134" s="1"/>
  <c r="C135"/>
  <c r="P134"/>
  <c r="O134"/>
  <c r="O126" s="1"/>
  <c r="N134"/>
  <c r="N126" s="1"/>
  <c r="M134"/>
  <c r="G134"/>
  <c r="G126" s="1"/>
  <c r="F134"/>
  <c r="F126" s="1"/>
  <c r="E134"/>
  <c r="D134"/>
  <c r="C134"/>
  <c r="L133"/>
  <c r="C133"/>
  <c r="L132"/>
  <c r="C132"/>
  <c r="L131"/>
  <c r="E131"/>
  <c r="C131"/>
  <c r="L130"/>
  <c r="C130"/>
  <c r="L129"/>
  <c r="C129"/>
  <c r="L128"/>
  <c r="E128"/>
  <c r="C128" s="1"/>
  <c r="L127"/>
  <c r="C127"/>
  <c r="P126"/>
  <c r="M126"/>
  <c r="E126"/>
  <c r="D126"/>
  <c r="M123"/>
  <c r="L123"/>
  <c r="D123"/>
  <c r="C123"/>
  <c r="L122"/>
  <c r="C122"/>
  <c r="L121"/>
  <c r="C121"/>
  <c r="M120"/>
  <c r="M661" s="1"/>
  <c r="M1951" s="1"/>
  <c r="L120"/>
  <c r="L116" s="1"/>
  <c r="D120"/>
  <c r="D661" s="1"/>
  <c r="D1951" s="1"/>
  <c r="C120"/>
  <c r="L119"/>
  <c r="C119"/>
  <c r="L118"/>
  <c r="C118"/>
  <c r="L117"/>
  <c r="C117"/>
  <c r="C116" s="1"/>
  <c r="P116"/>
  <c r="O116"/>
  <c r="N116"/>
  <c r="M116"/>
  <c r="G116"/>
  <c r="F116"/>
  <c r="E116"/>
  <c r="D116"/>
  <c r="M115"/>
  <c r="L115"/>
  <c r="D115"/>
  <c r="C115"/>
  <c r="L114"/>
  <c r="C114"/>
  <c r="L113"/>
  <c r="C113"/>
  <c r="M112"/>
  <c r="L112"/>
  <c r="L96" s="1"/>
  <c r="D112"/>
  <c r="C112"/>
  <c r="L111"/>
  <c r="C111"/>
  <c r="M110"/>
  <c r="L110"/>
  <c r="D110"/>
  <c r="C110"/>
  <c r="L109"/>
  <c r="C109"/>
  <c r="L108"/>
  <c r="C108"/>
  <c r="M107"/>
  <c r="L107"/>
  <c r="D107"/>
  <c r="C107"/>
  <c r="L106"/>
  <c r="C106"/>
  <c r="L105"/>
  <c r="C105"/>
  <c r="C104" s="1"/>
  <c r="P104"/>
  <c r="O104"/>
  <c r="N104"/>
  <c r="M104"/>
  <c r="L104"/>
  <c r="G104"/>
  <c r="F104"/>
  <c r="E104"/>
  <c r="D104"/>
  <c r="L103"/>
  <c r="C103"/>
  <c r="L102"/>
  <c r="C102"/>
  <c r="L101"/>
  <c r="C101"/>
  <c r="L100"/>
  <c r="C100"/>
  <c r="L99"/>
  <c r="C99"/>
  <c r="L98"/>
  <c r="C98"/>
  <c r="L97"/>
  <c r="C97"/>
  <c r="C96" s="1"/>
  <c r="P96"/>
  <c r="O96"/>
  <c r="N96"/>
  <c r="M96"/>
  <c r="G96"/>
  <c r="F96"/>
  <c r="E96"/>
  <c r="D96"/>
  <c r="M93"/>
  <c r="L93"/>
  <c r="L86" s="1"/>
  <c r="D93"/>
  <c r="C93"/>
  <c r="L92"/>
  <c r="C92"/>
  <c r="L91"/>
  <c r="C91"/>
  <c r="L89"/>
  <c r="C89"/>
  <c r="L88"/>
  <c r="C88"/>
  <c r="L87"/>
  <c r="C87"/>
  <c r="C86" s="1"/>
  <c r="P86"/>
  <c r="P66" s="1"/>
  <c r="O86"/>
  <c r="N86"/>
  <c r="M86"/>
  <c r="M66" s="1"/>
  <c r="G86"/>
  <c r="F86"/>
  <c r="E86"/>
  <c r="E66" s="1"/>
  <c r="D86"/>
  <c r="M85"/>
  <c r="L85"/>
  <c r="D85"/>
  <c r="C85"/>
  <c r="L84"/>
  <c r="C84"/>
  <c r="L83"/>
  <c r="C83"/>
  <c r="M82"/>
  <c r="L82"/>
  <c r="D82"/>
  <c r="C82"/>
  <c r="L81"/>
  <c r="C81"/>
  <c r="M80"/>
  <c r="L80"/>
  <c r="D80"/>
  <c r="C80"/>
  <c r="L79"/>
  <c r="C79"/>
  <c r="L78"/>
  <c r="C78"/>
  <c r="M77"/>
  <c r="M648" s="1"/>
  <c r="L77"/>
  <c r="E77"/>
  <c r="E648" s="1"/>
  <c r="D77"/>
  <c r="D74" s="1"/>
  <c r="D66" s="1"/>
  <c r="C77"/>
  <c r="L76"/>
  <c r="C76"/>
  <c r="L75"/>
  <c r="L74" s="1"/>
  <c r="C75"/>
  <c r="C74" s="1"/>
  <c r="P74"/>
  <c r="O74"/>
  <c r="N74"/>
  <c r="M74"/>
  <c r="G74"/>
  <c r="F74"/>
  <c r="E74"/>
  <c r="L73"/>
  <c r="C73"/>
  <c r="L72"/>
  <c r="C72"/>
  <c r="L71"/>
  <c r="C71"/>
  <c r="L70"/>
  <c r="C70"/>
  <c r="L69"/>
  <c r="C69"/>
  <c r="L68"/>
  <c r="C68"/>
  <c r="L67"/>
  <c r="C67"/>
  <c r="O66"/>
  <c r="N66"/>
  <c r="G66"/>
  <c r="F66"/>
  <c r="M63"/>
  <c r="L63"/>
  <c r="D63"/>
  <c r="C63"/>
  <c r="L62"/>
  <c r="C62"/>
  <c r="L61"/>
  <c r="C61"/>
  <c r="L60"/>
  <c r="F60"/>
  <c r="C60" s="1"/>
  <c r="L59"/>
  <c r="C59"/>
  <c r="L58"/>
  <c r="L56" s="1"/>
  <c r="C58"/>
  <c r="L57"/>
  <c r="C57"/>
  <c r="P56"/>
  <c r="P36" s="1"/>
  <c r="O56"/>
  <c r="N56"/>
  <c r="M56"/>
  <c r="M36" s="1"/>
  <c r="G56"/>
  <c r="E56"/>
  <c r="D56"/>
  <c r="L55"/>
  <c r="C55"/>
  <c r="M54"/>
  <c r="M655" s="1"/>
  <c r="L54"/>
  <c r="D54"/>
  <c r="D655" s="1"/>
  <c r="D1945" s="1"/>
  <c r="C54"/>
  <c r="L53"/>
  <c r="C53"/>
  <c r="M52"/>
  <c r="L52"/>
  <c r="D52"/>
  <c r="C52"/>
  <c r="L51"/>
  <c r="C51"/>
  <c r="M50"/>
  <c r="L50"/>
  <c r="D50"/>
  <c r="C50"/>
  <c r="L49"/>
  <c r="C49"/>
  <c r="L48"/>
  <c r="C48"/>
  <c r="L47"/>
  <c r="C47"/>
  <c r="L46"/>
  <c r="C46"/>
  <c r="L45"/>
  <c r="L44" s="1"/>
  <c r="C45"/>
  <c r="P44"/>
  <c r="O44"/>
  <c r="O36" s="1"/>
  <c r="N44"/>
  <c r="M44"/>
  <c r="G44"/>
  <c r="G36" s="1"/>
  <c r="F44"/>
  <c r="E44"/>
  <c r="D44"/>
  <c r="C44"/>
  <c r="L43"/>
  <c r="C43"/>
  <c r="L42"/>
  <c r="C42"/>
  <c r="M41"/>
  <c r="M642" s="1"/>
  <c r="L41"/>
  <c r="F41"/>
  <c r="F642" s="1"/>
  <c r="F1932" s="1"/>
  <c r="E41"/>
  <c r="C41" s="1"/>
  <c r="D41"/>
  <c r="D36" s="1"/>
  <c r="L40"/>
  <c r="C40"/>
  <c r="L39"/>
  <c r="C39"/>
  <c r="M38"/>
  <c r="M639" s="1"/>
  <c r="L38"/>
  <c r="E38"/>
  <c r="C38" s="1"/>
  <c r="D38"/>
  <c r="D639" s="1"/>
  <c r="D1929" s="1"/>
  <c r="L37"/>
  <c r="L36" s="1"/>
  <c r="C37"/>
  <c r="N36"/>
  <c r="M33"/>
  <c r="M26" s="1"/>
  <c r="M6" s="1"/>
  <c r="L33"/>
  <c r="L664" s="1"/>
  <c r="E33"/>
  <c r="E664" s="1"/>
  <c r="D33"/>
  <c r="D664" s="1"/>
  <c r="C33"/>
  <c r="L32"/>
  <c r="L663" s="1"/>
  <c r="L1953" s="1"/>
  <c r="C32"/>
  <c r="C663" s="1"/>
  <c r="L31"/>
  <c r="L662" s="1"/>
  <c r="C31"/>
  <c r="C662" s="1"/>
  <c r="C1952" s="1"/>
  <c r="L30"/>
  <c r="L661" s="1"/>
  <c r="L1951" s="1"/>
  <c r="F30"/>
  <c r="F661" s="1"/>
  <c r="E30"/>
  <c r="E661" s="1"/>
  <c r="C30"/>
  <c r="L29"/>
  <c r="L660" s="1"/>
  <c r="C29"/>
  <c r="C660" s="1"/>
  <c r="C1950" s="1"/>
  <c r="L28"/>
  <c r="L659" s="1"/>
  <c r="L1949" s="1"/>
  <c r="C28"/>
  <c r="C659" s="1"/>
  <c r="L27"/>
  <c r="L658" s="1"/>
  <c r="C27"/>
  <c r="C658" s="1"/>
  <c r="P26"/>
  <c r="O26"/>
  <c r="N26"/>
  <c r="G26"/>
  <c r="F26"/>
  <c r="E26"/>
  <c r="D26"/>
  <c r="C26"/>
  <c r="M25"/>
  <c r="M656" s="1"/>
  <c r="L25"/>
  <c r="L656" s="1"/>
  <c r="D25"/>
  <c r="D656" s="1"/>
  <c r="D1946" s="1"/>
  <c r="C25"/>
  <c r="C656" s="1"/>
  <c r="C1946" s="1"/>
  <c r="L24"/>
  <c r="L655" s="1"/>
  <c r="L1945" s="1"/>
  <c r="C24"/>
  <c r="C655" s="1"/>
  <c r="L23"/>
  <c r="L654" s="1"/>
  <c r="C23"/>
  <c r="C654" s="1"/>
  <c r="C1944" s="1"/>
  <c r="M22"/>
  <c r="M653" s="1"/>
  <c r="M1943" s="1"/>
  <c r="L22"/>
  <c r="L653" s="1"/>
  <c r="E22"/>
  <c r="E653" s="1"/>
  <c r="E1943" s="1"/>
  <c r="D22"/>
  <c r="D653" s="1"/>
  <c r="C22"/>
  <c r="L21"/>
  <c r="L652" s="1"/>
  <c r="L1942" s="1"/>
  <c r="C21"/>
  <c r="C652" s="1"/>
  <c r="M20"/>
  <c r="M651" s="1"/>
  <c r="M1941" s="1"/>
  <c r="L20"/>
  <c r="L651" s="1"/>
  <c r="E20"/>
  <c r="E651" s="1"/>
  <c r="D20"/>
  <c r="D651" s="1"/>
  <c r="D1941" s="1"/>
  <c r="C20"/>
  <c r="C651" s="1"/>
  <c r="L19"/>
  <c r="L650" s="1"/>
  <c r="L1940" s="1"/>
  <c r="C19"/>
  <c r="C650" s="1"/>
  <c r="L18"/>
  <c r="L649" s="1"/>
  <c r="C18"/>
  <c r="C649" s="1"/>
  <c r="C1939" s="1"/>
  <c r="L17"/>
  <c r="L648" s="1"/>
  <c r="L1938" s="1"/>
  <c r="C17"/>
  <c r="L16"/>
  <c r="L647" s="1"/>
  <c r="L1937" s="1"/>
  <c r="C16"/>
  <c r="C647" s="1"/>
  <c r="C1937" s="1"/>
  <c r="L15"/>
  <c r="L646" s="1"/>
  <c r="C15"/>
  <c r="C646" s="1"/>
  <c r="P14"/>
  <c r="O14"/>
  <c r="O6" s="1"/>
  <c r="N14"/>
  <c r="N6" s="1"/>
  <c r="M14"/>
  <c r="G14"/>
  <c r="G6" s="1"/>
  <c r="F14"/>
  <c r="F6" s="1"/>
  <c r="E14"/>
  <c r="D14"/>
  <c r="C14"/>
  <c r="L13"/>
  <c r="L644" s="1"/>
  <c r="C13"/>
  <c r="C644" s="1"/>
  <c r="L12"/>
  <c r="L643" s="1"/>
  <c r="L1933" s="1"/>
  <c r="C12"/>
  <c r="C643" s="1"/>
  <c r="C1933" s="1"/>
  <c r="L11"/>
  <c r="L642" s="1"/>
  <c r="E11"/>
  <c r="E642" s="1"/>
  <c r="L10"/>
  <c r="L641" s="1"/>
  <c r="C10"/>
  <c r="C641" s="1"/>
  <c r="L9"/>
  <c r="L640" s="1"/>
  <c r="L1930" s="1"/>
  <c r="C9"/>
  <c r="C640" s="1"/>
  <c r="C1930" s="1"/>
  <c r="L8"/>
  <c r="L639" s="1"/>
  <c r="E8"/>
  <c r="C8" s="1"/>
  <c r="C639" s="1"/>
  <c r="L7"/>
  <c r="L638" s="1"/>
  <c r="C7"/>
  <c r="P6"/>
  <c r="E6"/>
  <c r="C6" i="2" l="1"/>
  <c r="E1938" i="1"/>
  <c r="E645"/>
  <c r="F1928"/>
  <c r="C648"/>
  <c r="L1946"/>
  <c r="C661"/>
  <c r="C664"/>
  <c r="C1954" s="1"/>
  <c r="C217"/>
  <c r="L277"/>
  <c r="L307"/>
  <c r="C487"/>
  <c r="C697"/>
  <c r="L657"/>
  <c r="M1929"/>
  <c r="D1948"/>
  <c r="D657"/>
  <c r="L1939"/>
  <c r="L1954"/>
  <c r="C367"/>
  <c r="F1951"/>
  <c r="F657"/>
  <c r="M1938"/>
  <c r="M645"/>
  <c r="M637" s="1"/>
  <c r="L1932"/>
  <c r="L1934"/>
  <c r="L66"/>
  <c r="C126"/>
  <c r="C337"/>
  <c r="C577"/>
  <c r="L645"/>
  <c r="L637" s="1"/>
  <c r="E1951"/>
  <c r="E657"/>
  <c r="M1948"/>
  <c r="M657"/>
  <c r="C6"/>
  <c r="C653"/>
  <c r="C56"/>
  <c r="C36" s="1"/>
  <c r="C66"/>
  <c r="L126"/>
  <c r="M367"/>
  <c r="L487"/>
  <c r="C547"/>
  <c r="E1509"/>
  <c r="E907"/>
  <c r="C11"/>
  <c r="C642" s="1"/>
  <c r="L14"/>
  <c r="L26"/>
  <c r="L6" s="1"/>
  <c r="F56"/>
  <c r="F36" s="1"/>
  <c r="E157"/>
  <c r="F207"/>
  <c r="F187" s="1"/>
  <c r="E367"/>
  <c r="M627"/>
  <c r="M607" s="1"/>
  <c r="G645"/>
  <c r="G637" s="1"/>
  <c r="O645"/>
  <c r="O637" s="1"/>
  <c r="E1935"/>
  <c r="M1935"/>
  <c r="E656"/>
  <c r="E1946" s="1"/>
  <c r="G657"/>
  <c r="O657"/>
  <c r="M664"/>
  <c r="M1954" s="1"/>
  <c r="C1509"/>
  <c r="C1929" s="1"/>
  <c r="C1511"/>
  <c r="C1931" s="1"/>
  <c r="L1512"/>
  <c r="C1514"/>
  <c r="C1934" s="1"/>
  <c r="E675"/>
  <c r="E667" s="1"/>
  <c r="C1516"/>
  <c r="C1936" s="1"/>
  <c r="C678"/>
  <c r="L1519"/>
  <c r="L1521"/>
  <c r="L1941" s="1"/>
  <c r="D1523"/>
  <c r="D1943" s="1"/>
  <c r="L1524"/>
  <c r="L1944" s="1"/>
  <c r="L1526"/>
  <c r="L1528"/>
  <c r="L1530"/>
  <c r="L1950" s="1"/>
  <c r="L1532"/>
  <c r="L1952" s="1"/>
  <c r="L1534"/>
  <c r="L937"/>
  <c r="L967"/>
  <c r="L1087"/>
  <c r="D1515"/>
  <c r="C1147"/>
  <c r="C1237"/>
  <c r="L1417"/>
  <c r="L1447"/>
  <c r="C1725"/>
  <c r="E1717"/>
  <c r="M1737"/>
  <c r="C1899"/>
  <c r="C1905"/>
  <c r="C1837"/>
  <c r="C844"/>
  <c r="C837" s="1"/>
  <c r="E837"/>
  <c r="E1534"/>
  <c r="E1527" s="1"/>
  <c r="E1507" s="1"/>
  <c r="C972"/>
  <c r="C967" s="1"/>
  <c r="E967"/>
  <c r="E1512"/>
  <c r="E1932" s="1"/>
  <c r="D642"/>
  <c r="D1932" s="1"/>
  <c r="D648"/>
  <c r="D1938" s="1"/>
  <c r="D1935" s="1"/>
  <c r="F653"/>
  <c r="F1943" s="1"/>
  <c r="D1952"/>
  <c r="C1523"/>
  <c r="C1534"/>
  <c r="F907"/>
  <c r="E1515"/>
  <c r="D1534"/>
  <c r="D1954" s="1"/>
  <c r="D837"/>
  <c r="D817" s="1"/>
  <c r="D6"/>
  <c r="E36"/>
  <c r="E345"/>
  <c r="E337" s="1"/>
  <c r="C638"/>
  <c r="E639"/>
  <c r="C1512"/>
  <c r="M1515"/>
  <c r="D1417"/>
  <c r="C188"/>
  <c r="C187" s="1"/>
  <c r="D637"/>
  <c r="D645"/>
  <c r="P645"/>
  <c r="P637" s="1"/>
  <c r="F1935"/>
  <c r="N1935"/>
  <c r="N1927" s="1"/>
  <c r="P657"/>
  <c r="F1947"/>
  <c r="N1947"/>
  <c r="D667"/>
  <c r="L667"/>
  <c r="L1509"/>
  <c r="L1929" s="1"/>
  <c r="L1511"/>
  <c r="L1931" s="1"/>
  <c r="M1512"/>
  <c r="M1507" s="1"/>
  <c r="L1514"/>
  <c r="L1516"/>
  <c r="L1515" s="1"/>
  <c r="C1520"/>
  <c r="C1940" s="1"/>
  <c r="C1522"/>
  <c r="C1942" s="1"/>
  <c r="L1523"/>
  <c r="L1943" s="1"/>
  <c r="C687"/>
  <c r="C1529"/>
  <c r="C1949" s="1"/>
  <c r="C1531"/>
  <c r="C1533"/>
  <c r="C1527" s="1"/>
  <c r="M1525"/>
  <c r="M1945" s="1"/>
  <c r="D735"/>
  <c r="D727" s="1"/>
  <c r="M1526"/>
  <c r="M1946" s="1"/>
  <c r="L787"/>
  <c r="C801"/>
  <c r="C787" s="1"/>
  <c r="E817"/>
  <c r="C817"/>
  <c r="M967"/>
  <c r="L1147"/>
  <c r="C1177"/>
  <c r="C1387"/>
  <c r="M1527"/>
  <c r="C1717"/>
  <c r="L1725"/>
  <c r="L1717" s="1"/>
  <c r="F1717"/>
  <c r="D1897"/>
  <c r="M1917"/>
  <c r="M1897" s="1"/>
  <c r="C1777"/>
  <c r="C1867"/>
  <c r="E1027"/>
  <c r="D1437"/>
  <c r="D1537"/>
  <c r="L1537"/>
  <c r="L1545"/>
  <c r="C1557"/>
  <c r="C1537" s="1"/>
  <c r="E1747"/>
  <c r="C1748"/>
  <c r="C1755"/>
  <c r="C1765"/>
  <c r="C1915" s="1"/>
  <c r="C1782"/>
  <c r="C1902" s="1"/>
  <c r="L1898"/>
  <c r="L1928" s="1"/>
  <c r="L1906"/>
  <c r="L1905" s="1"/>
  <c r="M1125"/>
  <c r="M1117" s="1"/>
  <c r="M1767"/>
  <c r="M1747" s="1"/>
  <c r="E1899"/>
  <c r="E1901"/>
  <c r="E1931" s="1"/>
  <c r="E1911"/>
  <c r="E1941" s="1"/>
  <c r="C1918"/>
  <c r="C1917" s="1"/>
  <c r="D1532"/>
  <c r="M1722"/>
  <c r="M1717" s="1"/>
  <c r="C1135"/>
  <c r="C1117" s="1"/>
  <c r="D1557"/>
  <c r="L1557"/>
  <c r="C1525" l="1"/>
  <c r="C1945" s="1"/>
  <c r="C1521"/>
  <c r="C1941" s="1"/>
  <c r="M1947"/>
  <c r="L1936"/>
  <c r="L1935" s="1"/>
  <c r="L1927" s="1"/>
  <c r="C1953"/>
  <c r="C657"/>
  <c r="C1951"/>
  <c r="F1927"/>
  <c r="D1527"/>
  <c r="D1507" s="1"/>
  <c r="L1527"/>
  <c r="E1954"/>
  <c r="E1947" s="1"/>
  <c r="D1947"/>
  <c r="D1927" s="1"/>
  <c r="L1948"/>
  <c r="L1947" s="1"/>
  <c r="F637"/>
  <c r="C645"/>
  <c r="C637" s="1"/>
  <c r="C1515"/>
  <c r="C1507" s="1"/>
  <c r="C1943"/>
  <c r="M1932"/>
  <c r="C1747"/>
  <c r="C1898"/>
  <c r="C1897" s="1"/>
  <c r="E1929"/>
  <c r="E637"/>
  <c r="C1518"/>
  <c r="C1938" s="1"/>
  <c r="C1935" s="1"/>
  <c r="C675"/>
  <c r="C667" s="1"/>
  <c r="E1897"/>
  <c r="L1897"/>
  <c r="L1507"/>
  <c r="C1932"/>
  <c r="C1948"/>
  <c r="E1927" l="1"/>
  <c r="C1947"/>
  <c r="M1927"/>
  <c r="C1928"/>
  <c r="C1927" l="1"/>
</calcChain>
</file>

<file path=xl/sharedStrings.xml><?xml version="1.0" encoding="utf-8"?>
<sst xmlns="http://schemas.openxmlformats.org/spreadsheetml/2006/main" count="3375" uniqueCount="120">
  <si>
    <t xml:space="preserve">                      Анализ кредиторской  задолженности по бюджетным уч-ям</t>
  </si>
  <si>
    <t xml:space="preserve"> Самостоятельные учреждения  Управление образование ОА г.Якутск</t>
  </si>
  <si>
    <t>на 1.01.2016г.</t>
  </si>
  <si>
    <t>№ пп</t>
  </si>
  <si>
    <t>Наименование учреждения, КОСГУ</t>
  </si>
  <si>
    <t xml:space="preserve">ВСЕГО  кредиторская задолженность на 1.01.16г.         (КФО 4,2,5) </t>
  </si>
  <si>
    <t>КФО 4  Кредиторская задолженность</t>
  </si>
  <si>
    <t xml:space="preserve"> Кредиторская задолженность (БАЛАНСОВАЯ) на 1.01.16г.</t>
  </si>
  <si>
    <t>Остатки на личевых счетах</t>
  </si>
  <si>
    <t xml:space="preserve">ВСЕГО    ОПЛАЧЕНО        (КФО 4,2,5) </t>
  </si>
  <si>
    <t xml:space="preserve"> ОПЛАЧЕНО  в 2016 году  кредиторская задолженность 2015года</t>
  </si>
  <si>
    <t>КФО 4 Дебиторская задолженность</t>
  </si>
  <si>
    <t xml:space="preserve">КФО 4  </t>
  </si>
  <si>
    <t xml:space="preserve">КФО 2                </t>
  </si>
  <si>
    <t xml:space="preserve">КФО 5     </t>
  </si>
  <si>
    <t>Всего</t>
  </si>
  <si>
    <t>в т.ч.      местный</t>
  </si>
  <si>
    <t>в т.ч субвенция</t>
  </si>
  <si>
    <t>недофинансирование  в 2012г.</t>
  </si>
  <si>
    <t>МБДОУ «Детский сад № 7  »</t>
  </si>
  <si>
    <t>доходы</t>
  </si>
  <si>
    <t xml:space="preserve">211 Заработная плата </t>
  </si>
  <si>
    <t>212 Прочие  выплаты</t>
  </si>
  <si>
    <t>212.1101  Проезд в отпуск</t>
  </si>
  <si>
    <t>213 Начисление на з/пл</t>
  </si>
  <si>
    <t>221 Услуги связи</t>
  </si>
  <si>
    <t>222 Транспортные услуги</t>
  </si>
  <si>
    <t>223 Коммунальные услуги  в т.ч.</t>
  </si>
  <si>
    <t>отопление</t>
  </si>
  <si>
    <t>электроэнергия</t>
  </si>
  <si>
    <t>водоснабжение</t>
  </si>
  <si>
    <t>канализация</t>
  </si>
  <si>
    <t>224 Арендная плата за пользование имуществом</t>
  </si>
  <si>
    <t>225 Работы, услуги по содержанию имущества</t>
  </si>
  <si>
    <t>225.1105   Текущий и капитальный ремонт</t>
  </si>
  <si>
    <t>226 Прочие услуги</t>
  </si>
  <si>
    <t>262 Пособия по социальной помощи населению</t>
  </si>
  <si>
    <t xml:space="preserve">290 Прочие расходы </t>
  </si>
  <si>
    <t>310 Увеличение стоимости основных средств</t>
  </si>
  <si>
    <t xml:space="preserve">340 Увеличение стоимости материальных запасов </t>
  </si>
  <si>
    <t>в т.ч.</t>
  </si>
  <si>
    <t>340.1112   Строительные материалы</t>
  </si>
  <si>
    <t>340.1117 Мягкий инвентарь</t>
  </si>
  <si>
    <t>340.1119 Медикаменты</t>
  </si>
  <si>
    <t xml:space="preserve">340.1120 Продукты питания </t>
  </si>
  <si>
    <t>340.1121 ГСМ</t>
  </si>
  <si>
    <t>340.1122 котельно-печное отопление</t>
  </si>
  <si>
    <t>340.1123 Хоз.канц.товары</t>
  </si>
  <si>
    <t>МБДОУ «Детский сад № 10  »</t>
  </si>
  <si>
    <t>МБДОУ «Детский сад № 11 »</t>
  </si>
  <si>
    <t>МБДОУ «Детский сад № 16 »</t>
  </si>
  <si>
    <t>МБДОУ «Детский сад № 22 »</t>
  </si>
  <si>
    <t>МБДОУ «Детский сад № 33 »</t>
  </si>
  <si>
    <t>МБДОУ «Детский сад № 42 »</t>
  </si>
  <si>
    <t>МБДОУ «Детский сад № 69 »</t>
  </si>
  <si>
    <t>МБДОУ «Детский сад № 70 »</t>
  </si>
  <si>
    <t>МБДОУ «Детский сад № 71 »</t>
  </si>
  <si>
    <t>МБДОУ «Детский сад № 79 »</t>
  </si>
  <si>
    <t>МБДОУ «Детский сад № 85 »</t>
  </si>
  <si>
    <t>МБДОУ «Детский сад № 89 »</t>
  </si>
  <si>
    <t>МБДОУ «Детский сад № 90 »</t>
  </si>
  <si>
    <t>МБДОУ «Детский сад № 97»</t>
  </si>
  <si>
    <t>МБДОУ «Детский сад № 103»</t>
  </si>
  <si>
    <t>МБДОУ «Детский сад № 104»</t>
  </si>
  <si>
    <t>МБДОУ «Детский сад № 105»</t>
  </si>
  <si>
    <t>МДОУ Детский сад 15</t>
  </si>
  <si>
    <t>МАДОУ Детский сад№  18</t>
  </si>
  <si>
    <t>МДОУ Детский сад 51</t>
  </si>
  <si>
    <t>ИТОГО САМОСТОЯТЕЛЬНЫЕ ДДУ</t>
  </si>
  <si>
    <t xml:space="preserve">МОБУ «Городская классическая гимназия» </t>
  </si>
  <si>
    <t xml:space="preserve">МОБУ «СОШ № 1» </t>
  </si>
  <si>
    <t xml:space="preserve">МОБУ «СОШ № 2» </t>
  </si>
  <si>
    <t xml:space="preserve">МОБУ «СОШ № 7 » </t>
  </si>
  <si>
    <t xml:space="preserve">МОБУ «СОШ № 10 » </t>
  </si>
  <si>
    <t xml:space="preserve">МОБУ «СОШ № 12» </t>
  </si>
  <si>
    <t xml:space="preserve">МОБУ «СОШ № 13 » </t>
  </si>
  <si>
    <t xml:space="preserve">МОБУ «СОШ № » </t>
  </si>
  <si>
    <t xml:space="preserve">340.1113 Продукты питания </t>
  </si>
  <si>
    <t xml:space="preserve">МОБУ «СОШ № 16» </t>
  </si>
  <si>
    <t xml:space="preserve">МОБУ «СОШ № 17» </t>
  </si>
  <si>
    <t xml:space="preserve">МОБУ «СОШ № 18» </t>
  </si>
  <si>
    <t xml:space="preserve">МОБУ «СОШ № 19» </t>
  </si>
  <si>
    <t xml:space="preserve">МОБУ «СОШ № 21» </t>
  </si>
  <si>
    <t>МОБУ «СОШ № » 32</t>
  </si>
  <si>
    <t xml:space="preserve">МОБУ «СОШ № 26» </t>
  </si>
  <si>
    <t xml:space="preserve">МОБУ «СОШ № 27» </t>
  </si>
  <si>
    <t xml:space="preserve">МОБУ «СОШ № 33» </t>
  </si>
  <si>
    <t xml:space="preserve">МОБУ «ФТЛ » </t>
  </si>
  <si>
    <t xml:space="preserve">МОБУ «ЯГЛ» </t>
  </si>
  <si>
    <t xml:space="preserve">МОБУ «Саха гимназия » </t>
  </si>
  <si>
    <t xml:space="preserve">МОБУ «Кангаласская СОШ » </t>
  </si>
  <si>
    <t xml:space="preserve">МОБУ «Маганская СОШ » </t>
  </si>
  <si>
    <t xml:space="preserve">МОБУ «ЯГНГ » </t>
  </si>
  <si>
    <t xml:space="preserve">МОБУ «Табагинская СОШ » </t>
  </si>
  <si>
    <t xml:space="preserve">МОБУ «Мархинская СОШ № 1» </t>
  </si>
  <si>
    <t>МОБУ СОШ № 31</t>
  </si>
  <si>
    <t xml:space="preserve"> Центр образования</t>
  </si>
  <si>
    <t xml:space="preserve">ИТОГО САМОСТОЯТЕЛЬНЫЕ ШКОЛЫ </t>
  </si>
  <si>
    <t xml:space="preserve">МБОУ ДОД «Дворец детского творчества» </t>
  </si>
  <si>
    <t>свободно</t>
  </si>
  <si>
    <t>ДПЦ</t>
  </si>
  <si>
    <t>ДДТ "Хатассы"</t>
  </si>
  <si>
    <t>ИТОГО САМОСТОЯТЕЛЬНЫЕ ВНЕШКОЛЬНЫЕ УЧРЕЖДЕНИЯ 0702  423</t>
  </si>
  <si>
    <t>МБУ "Детские автобусы"                       0709  435</t>
  </si>
  <si>
    <t>МОБУ  «ЦППРиКДП"                     0709      435</t>
  </si>
  <si>
    <t>МУ ЦБ</t>
  </si>
  <si>
    <t>Итого ПРОЧИЕ    0709    435</t>
  </si>
  <si>
    <t>ИТОГО САМОСТОЯТЕЛЬНЫЕ УЧРЕЖДЕНИЯ</t>
  </si>
  <si>
    <t xml:space="preserve">                      Анализ кредиторской и дебиторской задолженности по автаном.уч-ям</t>
  </si>
  <si>
    <t>на 1.01.2014г.</t>
  </si>
  <si>
    <t>ВСЕГО           (КФО 4,2,5)  Кредиторская задолженность</t>
  </si>
  <si>
    <t>Кредиторская задолженность (БАЛАНСОВАЯ на 01.01.16г)</t>
  </si>
  <si>
    <t>КФО 4</t>
  </si>
  <si>
    <t>КФО 2</t>
  </si>
  <si>
    <t>КФО 5</t>
  </si>
  <si>
    <t xml:space="preserve">МОБУ «СОШ № 14» </t>
  </si>
  <si>
    <t>КФО 2                  Кредиторская задолженность</t>
  </si>
  <si>
    <t>КФО 5     Кредиторская задолженность</t>
  </si>
  <si>
    <t xml:space="preserve">МОБУ «СОШ № 23» </t>
  </si>
  <si>
    <t>ИТОГО Автономные учреждения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</si>
</sst>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ont="1"/>
    <xf numFmtId="4" fontId="1" fillId="0" borderId="0" xfId="0" applyNumberFormat="1" applyFont="1"/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Fill="1" applyBorder="1"/>
    <xf numFmtId="0" fontId="2" fillId="2" borderId="2" xfId="0" applyFont="1" applyFill="1" applyBorder="1" applyAlignment="1">
      <alignment wrapText="1"/>
    </xf>
    <xf numFmtId="4" fontId="1" fillId="2" borderId="5" xfId="0" applyNumberFormat="1" applyFont="1" applyFill="1" applyBorder="1"/>
    <xf numFmtId="0" fontId="2" fillId="3" borderId="2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1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4" fontId="4" fillId="0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1" fillId="6" borderId="0" xfId="0" applyFont="1" applyFill="1" applyAlignment="1">
      <alignment horizontal="center" wrapText="1"/>
    </xf>
    <xf numFmtId="4" fontId="1" fillId="7" borderId="5" xfId="0" applyNumberFormat="1" applyFont="1" applyFill="1" applyBorder="1" applyAlignment="1">
      <alignment horizontal="center"/>
    </xf>
    <xf numFmtId="4" fontId="2" fillId="7" borderId="5" xfId="0" applyNumberFormat="1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" fontId="1" fillId="6" borderId="5" xfId="0" applyNumberFormat="1" applyFont="1" applyFill="1" applyBorder="1" applyAlignment="1">
      <alignment horizontal="center"/>
    </xf>
    <xf numFmtId="4" fontId="2" fillId="6" borderId="5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8" borderId="5" xfId="0" applyNumberFormat="1" applyFont="1" applyFill="1" applyBorder="1" applyAlignment="1">
      <alignment horizontal="center"/>
    </xf>
    <xf numFmtId="4" fontId="2" fillId="8" borderId="5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4" fontId="5" fillId="9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" fontId="2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wrapText="1"/>
    </xf>
    <xf numFmtId="0" fontId="1" fillId="10" borderId="5" xfId="0" applyFont="1" applyFill="1" applyBorder="1" applyAlignment="1">
      <alignment horizontal="center"/>
    </xf>
    <xf numFmtId="4" fontId="2" fillId="10" borderId="5" xfId="0" applyNumberFormat="1" applyFont="1" applyFill="1" applyBorder="1" applyAlignment="1">
      <alignment horizontal="center"/>
    </xf>
    <xf numFmtId="4" fontId="1" fillId="10" borderId="5" xfId="0" applyNumberFormat="1" applyFont="1" applyFill="1" applyBorder="1" applyAlignment="1">
      <alignment horizontal="center" wrapText="1"/>
    </xf>
    <xf numFmtId="4" fontId="1" fillId="10" borderId="5" xfId="0" applyNumberFormat="1" applyFont="1" applyFill="1" applyBorder="1" applyAlignment="1">
      <alignment horizontal="center"/>
    </xf>
    <xf numFmtId="4" fontId="1" fillId="10" borderId="5" xfId="0" applyNumberFormat="1" applyFont="1" applyFill="1" applyBorder="1"/>
    <xf numFmtId="4" fontId="1" fillId="5" borderId="5" xfId="0" applyNumberFormat="1" applyFont="1" applyFill="1" applyBorder="1" applyAlignment="1">
      <alignment horizontal="center"/>
    </xf>
    <xf numFmtId="4" fontId="2" fillId="11" borderId="5" xfId="0" applyNumberFormat="1" applyFont="1" applyFill="1" applyBorder="1" applyAlignment="1">
      <alignment horizontal="center" vertical="top" wrapText="1"/>
    </xf>
    <xf numFmtId="4" fontId="1" fillId="11" borderId="5" xfId="0" applyNumberFormat="1" applyFont="1" applyFill="1" applyBorder="1" applyAlignment="1">
      <alignment horizontal="center"/>
    </xf>
    <xf numFmtId="4" fontId="2" fillId="11" borderId="5" xfId="0" applyNumberFormat="1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 wrapText="1"/>
    </xf>
    <xf numFmtId="4" fontId="2" fillId="10" borderId="1" xfId="0" applyNumberFormat="1" applyFont="1" applyFill="1" applyBorder="1" applyAlignment="1">
      <alignment horizontal="center"/>
    </xf>
    <xf numFmtId="4" fontId="1" fillId="10" borderId="5" xfId="0" applyNumberFormat="1" applyFont="1" applyFill="1" applyBorder="1" applyAlignment="1">
      <alignment horizontal="center" vertical="center" wrapText="1"/>
    </xf>
    <xf numFmtId="4" fontId="1" fillId="1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5" xfId="0" applyFont="1" applyFill="1" applyBorder="1"/>
    <xf numFmtId="4" fontId="1" fillId="12" borderId="5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wrapText="1"/>
    </xf>
    <xf numFmtId="0" fontId="1" fillId="12" borderId="5" xfId="0" applyFont="1" applyFill="1" applyBorder="1"/>
    <xf numFmtId="0" fontId="1" fillId="12" borderId="5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wrapText="1"/>
    </xf>
    <xf numFmtId="0" fontId="2" fillId="12" borderId="5" xfId="0" applyFont="1" applyFill="1" applyBorder="1" applyAlignment="1">
      <alignment horizontal="left" wrapText="1"/>
    </xf>
    <xf numFmtId="4" fontId="2" fillId="12" borderId="5" xfId="0" applyNumberFormat="1" applyFont="1" applyFill="1" applyBorder="1" applyAlignment="1">
      <alignment horizontal="center" vertical="top" wrapText="1"/>
    </xf>
    <xf numFmtId="0" fontId="1" fillId="12" borderId="5" xfId="0" applyFont="1" applyFill="1" applyBorder="1" applyAlignment="1">
      <alignment horizontal="right" vertical="top" wrapText="1"/>
    </xf>
    <xf numFmtId="0" fontId="1" fillId="12" borderId="5" xfId="0" applyFont="1" applyFill="1" applyBorder="1" applyAlignment="1">
      <alignment wrapText="1"/>
    </xf>
    <xf numFmtId="0" fontId="1" fillId="12" borderId="5" xfId="0" applyFont="1" applyFill="1" applyBorder="1" applyAlignment="1">
      <alignment vertical="top" wrapText="1"/>
    </xf>
    <xf numFmtId="0" fontId="2" fillId="12" borderId="5" xfId="0" applyFont="1" applyFill="1" applyBorder="1" applyAlignment="1">
      <alignment wrapText="1"/>
    </xf>
    <xf numFmtId="0" fontId="1" fillId="13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wrapText="1"/>
    </xf>
    <xf numFmtId="4" fontId="2" fillId="13" borderId="5" xfId="0" applyNumberFormat="1" applyFont="1" applyFill="1" applyBorder="1" applyAlignment="1">
      <alignment horizontal="center"/>
    </xf>
    <xf numFmtId="4" fontId="1" fillId="13" borderId="5" xfId="0" applyNumberFormat="1" applyFont="1" applyFill="1" applyBorder="1" applyAlignment="1">
      <alignment horizontal="center" vertical="center" wrapText="1"/>
    </xf>
    <xf numFmtId="4" fontId="1" fillId="13" borderId="5" xfId="0" applyNumberFormat="1" applyFont="1" applyFill="1" applyBorder="1" applyAlignment="1">
      <alignment horizontal="center" vertical="center"/>
    </xf>
    <xf numFmtId="4" fontId="1" fillId="13" borderId="5" xfId="0" applyNumberFormat="1" applyFont="1" applyFill="1" applyBorder="1"/>
    <xf numFmtId="4" fontId="1" fillId="13" borderId="5" xfId="0" applyNumberFormat="1" applyFont="1" applyFill="1" applyBorder="1" applyAlignment="1">
      <alignment horizontal="center" wrapText="1"/>
    </xf>
    <xf numFmtId="4" fontId="1" fillId="13" borderId="5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 wrapText="1"/>
    </xf>
    <xf numFmtId="0" fontId="1" fillId="13" borderId="5" xfId="0" applyFont="1" applyFill="1" applyBorder="1"/>
    <xf numFmtId="0" fontId="1" fillId="13" borderId="5" xfId="0" applyFont="1" applyFill="1" applyBorder="1" applyAlignment="1">
      <alignment horizontal="left" vertical="top" wrapText="1"/>
    </xf>
    <xf numFmtId="0" fontId="1" fillId="13" borderId="5" xfId="0" applyFont="1" applyFill="1" applyBorder="1" applyAlignment="1">
      <alignment horizontal="left" wrapText="1"/>
    </xf>
    <xf numFmtId="0" fontId="2" fillId="13" borderId="5" xfId="0" applyFont="1" applyFill="1" applyBorder="1" applyAlignment="1">
      <alignment horizontal="left" wrapText="1"/>
    </xf>
    <xf numFmtId="4" fontId="2" fillId="13" borderId="5" xfId="0" applyNumberFormat="1" applyFont="1" applyFill="1" applyBorder="1" applyAlignment="1">
      <alignment horizontal="center" vertical="top" wrapText="1"/>
    </xf>
    <xf numFmtId="0" fontId="1" fillId="13" borderId="5" xfId="0" applyFont="1" applyFill="1" applyBorder="1" applyAlignment="1">
      <alignment horizontal="right" vertical="top" wrapText="1"/>
    </xf>
    <xf numFmtId="0" fontId="1" fillId="13" borderId="5" xfId="0" applyFont="1" applyFill="1" applyBorder="1" applyAlignment="1">
      <alignment wrapText="1"/>
    </xf>
    <xf numFmtId="0" fontId="1" fillId="13" borderId="5" xfId="0" applyFont="1" applyFill="1" applyBorder="1" applyAlignment="1">
      <alignment vertical="top" wrapText="1"/>
    </xf>
    <xf numFmtId="0" fontId="2" fillId="13" borderId="5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wrapText="1"/>
    </xf>
    <xf numFmtId="4" fontId="1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14" borderId="5" xfId="0" applyFont="1" applyFill="1" applyBorder="1" applyAlignment="1">
      <alignment horizontal="center"/>
    </xf>
    <xf numFmtId="0" fontId="1" fillId="14" borderId="0" xfId="0" applyFont="1" applyFill="1" applyAlignment="1">
      <alignment horizontal="center" wrapText="1"/>
    </xf>
    <xf numFmtId="4" fontId="2" fillId="14" borderId="5" xfId="0" applyNumberFormat="1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0" xfId="0" applyFont="1" applyFill="1" applyAlignment="1">
      <alignment horizontal="center" wrapText="1"/>
    </xf>
    <xf numFmtId="4" fontId="2" fillId="15" borderId="1" xfId="0" applyNumberFormat="1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 wrapText="1"/>
    </xf>
    <xf numFmtId="4" fontId="1" fillId="14" borderId="5" xfId="0" applyNumberFormat="1" applyFont="1" applyFill="1" applyBorder="1" applyAlignment="1">
      <alignment horizontal="center"/>
    </xf>
    <xf numFmtId="0" fontId="1" fillId="14" borderId="5" xfId="0" applyFont="1" applyFill="1" applyBorder="1"/>
    <xf numFmtId="0" fontId="1" fillId="14" borderId="5" xfId="0" applyFont="1" applyFill="1" applyBorder="1" applyAlignment="1">
      <alignment horizontal="left" vertical="top" wrapText="1"/>
    </xf>
    <xf numFmtId="0" fontId="1" fillId="14" borderId="5" xfId="0" applyFont="1" applyFill="1" applyBorder="1" applyAlignment="1">
      <alignment horizontal="left" wrapText="1"/>
    </xf>
    <xf numFmtId="0" fontId="2" fillId="14" borderId="5" xfId="0" applyFont="1" applyFill="1" applyBorder="1" applyAlignment="1">
      <alignment horizontal="left" wrapText="1"/>
    </xf>
    <xf numFmtId="4" fontId="2" fillId="14" borderId="5" xfId="0" applyNumberFormat="1" applyFont="1" applyFill="1" applyBorder="1" applyAlignment="1">
      <alignment horizontal="center" vertical="top" wrapText="1"/>
    </xf>
    <xf numFmtId="0" fontId="1" fillId="14" borderId="5" xfId="0" applyFont="1" applyFill="1" applyBorder="1" applyAlignment="1">
      <alignment horizontal="right" vertical="top" wrapText="1"/>
    </xf>
    <xf numFmtId="0" fontId="1" fillId="14" borderId="5" xfId="0" applyFont="1" applyFill="1" applyBorder="1" applyAlignment="1">
      <alignment wrapText="1"/>
    </xf>
    <xf numFmtId="0" fontId="1" fillId="14" borderId="5" xfId="0" applyFont="1" applyFill="1" applyBorder="1" applyAlignment="1">
      <alignment vertical="top" wrapText="1"/>
    </xf>
    <xf numFmtId="0" fontId="2" fillId="14" borderId="5" xfId="0" applyFont="1" applyFill="1" applyBorder="1" applyAlignment="1">
      <alignment wrapText="1"/>
    </xf>
    <xf numFmtId="0" fontId="1" fillId="7" borderId="5" xfId="0" applyFont="1" applyFill="1" applyBorder="1" applyAlignment="1">
      <alignment horizontal="center"/>
    </xf>
    <xf numFmtId="0" fontId="1" fillId="7" borderId="0" xfId="0" applyFont="1" applyFill="1" applyAlignment="1">
      <alignment horizontal="center" wrapText="1"/>
    </xf>
    <xf numFmtId="4" fontId="2" fillId="7" borderId="5" xfId="0" applyNumberFormat="1" applyFont="1" applyFill="1" applyBorder="1" applyAlignment="1">
      <alignment horizontal="center"/>
    </xf>
    <xf numFmtId="4" fontId="1" fillId="16" borderId="5" xfId="0" applyNumberFormat="1" applyFont="1" applyFill="1" applyBorder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1" fillId="16" borderId="5" xfId="0" applyFont="1" applyFill="1" applyBorder="1" applyAlignment="1">
      <alignment horizontal="center" wrapText="1"/>
    </xf>
    <xf numFmtId="0" fontId="1" fillId="16" borderId="5" xfId="0" applyFont="1" applyFill="1" applyBorder="1"/>
    <xf numFmtId="0" fontId="1" fillId="16" borderId="5" xfId="0" applyFont="1" applyFill="1" applyBorder="1" applyAlignment="1">
      <alignment horizontal="left" vertical="top" wrapText="1"/>
    </xf>
    <xf numFmtId="0" fontId="1" fillId="16" borderId="5" xfId="0" applyFont="1" applyFill="1" applyBorder="1" applyAlignment="1">
      <alignment horizontal="left" wrapText="1"/>
    </xf>
    <xf numFmtId="0" fontId="2" fillId="16" borderId="5" xfId="0" applyFont="1" applyFill="1" applyBorder="1" applyAlignment="1">
      <alignment horizontal="left" wrapText="1"/>
    </xf>
    <xf numFmtId="4" fontId="2" fillId="16" borderId="5" xfId="0" applyNumberFormat="1" applyFont="1" applyFill="1" applyBorder="1" applyAlignment="1">
      <alignment horizontal="center" vertical="top" wrapText="1"/>
    </xf>
    <xf numFmtId="0" fontId="1" fillId="16" borderId="5" xfId="0" applyFont="1" applyFill="1" applyBorder="1" applyAlignment="1">
      <alignment horizontal="right" vertical="top" wrapText="1"/>
    </xf>
    <xf numFmtId="0" fontId="1" fillId="16" borderId="5" xfId="0" applyFont="1" applyFill="1" applyBorder="1" applyAlignment="1">
      <alignment wrapText="1"/>
    </xf>
    <xf numFmtId="0" fontId="1" fillId="16" borderId="5" xfId="0" applyFont="1" applyFill="1" applyBorder="1" applyAlignment="1">
      <alignment vertical="top" wrapText="1"/>
    </xf>
    <xf numFmtId="0" fontId="2" fillId="16" borderId="5" xfId="0" applyFont="1" applyFill="1" applyBorder="1" applyAlignment="1">
      <alignment wrapText="1"/>
    </xf>
    <xf numFmtId="4" fontId="0" fillId="0" borderId="0" xfId="0" applyNumberFormat="1" applyFont="1"/>
    <xf numFmtId="0" fontId="6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 wrapText="1"/>
    </xf>
    <xf numFmtId="4" fontId="8" fillId="4" borderId="5" xfId="0" applyNumberFormat="1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4" fontId="8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12" borderId="5" xfId="0" applyFont="1" applyFill="1" applyBorder="1"/>
    <xf numFmtId="0" fontId="6" fillId="12" borderId="5" xfId="0" applyFont="1" applyFill="1" applyBorder="1" applyAlignment="1">
      <alignment wrapText="1"/>
    </xf>
    <xf numFmtId="4" fontId="6" fillId="12" borderId="5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7" fillId="0" borderId="0" xfId="0" applyFont="1" applyFill="1"/>
    <xf numFmtId="4" fontId="6" fillId="11" borderId="5" xfId="0" applyNumberFormat="1" applyFont="1" applyFill="1" applyBorder="1" applyAlignment="1">
      <alignment horizontal="center"/>
    </xf>
    <xf numFmtId="4" fontId="8" fillId="11" borderId="5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0" fontId="0" fillId="0" borderId="8" xfId="0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58"/>
  <sheetViews>
    <sheetView workbookViewId="0">
      <selection activeCell="T12" sqref="T12"/>
    </sheetView>
  </sheetViews>
  <sheetFormatPr defaultRowHeight="15"/>
  <cols>
    <col min="1" max="1" width="6.85546875" style="6" customWidth="1"/>
    <col min="2" max="2" width="32.28515625" style="6" customWidth="1"/>
    <col min="3" max="3" width="17.28515625" style="6" customWidth="1"/>
    <col min="4" max="4" width="17.85546875" style="6" hidden="1" customWidth="1"/>
    <col min="5" max="5" width="13.140625" style="6" customWidth="1"/>
    <col min="6" max="6" width="14" style="6" customWidth="1"/>
    <col min="7" max="7" width="15" style="6" customWidth="1"/>
    <col min="8" max="8" width="24.42578125" style="172" hidden="1" customWidth="1"/>
    <col min="9" max="9" width="14.42578125" style="172" hidden="1" customWidth="1"/>
    <col min="10" max="10" width="13.140625" style="172" hidden="1" customWidth="1"/>
    <col min="11" max="11" width="14.42578125" style="172" hidden="1" customWidth="1"/>
    <col min="12" max="12" width="12.28515625" style="6" customWidth="1"/>
    <col min="13" max="13" width="17.85546875" style="6" hidden="1" customWidth="1"/>
    <col min="14" max="14" width="13" style="6" customWidth="1"/>
    <col min="15" max="15" width="13.140625" style="6" customWidth="1"/>
    <col min="16" max="16" width="14" style="6" customWidth="1"/>
    <col min="17" max="16384" width="9.140625" style="6"/>
  </cols>
  <sheetData>
    <row r="1" spans="1:16" s="1" customFormat="1" ht="21.75" customHeight="1">
      <c r="A1" s="3" t="s">
        <v>0</v>
      </c>
      <c r="C1" s="2"/>
      <c r="E1" s="2"/>
      <c r="F1" s="2"/>
      <c r="G1" s="2"/>
      <c r="H1" s="7"/>
      <c r="I1" s="7"/>
      <c r="J1" s="7"/>
      <c r="K1" s="7"/>
      <c r="L1" s="2"/>
      <c r="N1" s="2"/>
      <c r="O1" s="2"/>
      <c r="P1" s="2"/>
    </row>
    <row r="2" spans="1:16" s="1" customFormat="1">
      <c r="A2" s="3" t="s">
        <v>1</v>
      </c>
      <c r="C2" s="2"/>
      <c r="D2" s="3"/>
      <c r="E2" s="2"/>
      <c r="F2" s="2"/>
      <c r="G2" s="2"/>
      <c r="H2" s="7"/>
      <c r="I2" s="7"/>
      <c r="J2" s="7"/>
      <c r="K2" s="7"/>
      <c r="L2" s="2"/>
      <c r="M2" s="3"/>
      <c r="N2" s="2"/>
      <c r="O2" s="2"/>
      <c r="P2" s="2"/>
    </row>
    <row r="3" spans="1:16" s="1" customFormat="1">
      <c r="B3" s="4" t="s">
        <v>2</v>
      </c>
      <c r="C3" s="2"/>
      <c r="D3" s="8"/>
      <c r="E3" s="2"/>
      <c r="F3" s="2"/>
      <c r="G3" s="2"/>
      <c r="H3" s="7"/>
      <c r="I3" s="7"/>
      <c r="J3" s="9"/>
      <c r="K3" s="9"/>
      <c r="L3" s="2"/>
      <c r="M3" s="8"/>
      <c r="N3" s="2"/>
      <c r="O3" s="2"/>
      <c r="P3" s="2"/>
    </row>
    <row r="4" spans="1:16" s="1" customFormat="1" ht="36.75" customHeight="1">
      <c r="A4" s="211" t="s">
        <v>3</v>
      </c>
      <c r="B4" s="213" t="s">
        <v>4</v>
      </c>
      <c r="C4" s="213" t="s">
        <v>5</v>
      </c>
      <c r="D4" s="10" t="s">
        <v>6</v>
      </c>
      <c r="E4" s="215" t="s">
        <v>7</v>
      </c>
      <c r="F4" s="216"/>
      <c r="G4" s="217"/>
      <c r="H4" s="218" t="s">
        <v>8</v>
      </c>
      <c r="I4" s="218"/>
      <c r="J4" s="218"/>
      <c r="K4" s="11"/>
      <c r="L4" s="219" t="s">
        <v>9</v>
      </c>
      <c r="M4" s="12" t="s">
        <v>6</v>
      </c>
      <c r="N4" s="208" t="s">
        <v>10</v>
      </c>
      <c r="O4" s="209"/>
      <c r="P4" s="210"/>
    </row>
    <row r="5" spans="1:16" s="1" customFormat="1" ht="47.25" customHeight="1">
      <c r="A5" s="212"/>
      <c r="B5" s="214"/>
      <c r="C5" s="214"/>
      <c r="D5" s="13" t="s">
        <v>11</v>
      </c>
      <c r="E5" s="13" t="s">
        <v>12</v>
      </c>
      <c r="F5" s="13" t="s">
        <v>13</v>
      </c>
      <c r="G5" s="13" t="s">
        <v>14</v>
      </c>
      <c r="H5" s="14" t="s">
        <v>15</v>
      </c>
      <c r="I5" s="14" t="s">
        <v>16</v>
      </c>
      <c r="J5" s="14" t="s">
        <v>17</v>
      </c>
      <c r="K5" s="14" t="s">
        <v>18</v>
      </c>
      <c r="L5" s="220"/>
      <c r="M5" s="15" t="s">
        <v>11</v>
      </c>
      <c r="N5" s="15" t="s">
        <v>12</v>
      </c>
      <c r="O5" s="15" t="s">
        <v>13</v>
      </c>
      <c r="P5" s="15" t="s">
        <v>14</v>
      </c>
    </row>
    <row r="6" spans="1:16" s="1" customFormat="1">
      <c r="A6" s="16">
        <v>1</v>
      </c>
      <c r="B6" s="17" t="s">
        <v>19</v>
      </c>
      <c r="C6" s="18">
        <f t="shared" ref="C6:G6" si="0">C7+C8+C9+C10+C11+C12+C13+C14+C19+C20+C21+C22+C23+C24+C25+C26</f>
        <v>2190177.75</v>
      </c>
      <c r="D6" s="18">
        <f t="shared" si="0"/>
        <v>783070.1</v>
      </c>
      <c r="E6" s="18">
        <f t="shared" si="0"/>
        <v>709215.96</v>
      </c>
      <c r="F6" s="18">
        <f t="shared" si="0"/>
        <v>815716.14999999991</v>
      </c>
      <c r="G6" s="18">
        <f t="shared" si="0"/>
        <v>665245.64</v>
      </c>
      <c r="H6" s="19"/>
      <c r="I6" s="20"/>
      <c r="J6" s="20"/>
      <c r="K6" s="11"/>
      <c r="L6" s="21">
        <f t="shared" ref="L6:P6" si="1">L7+L8+L9+L10+L11+L12+L13+L14+L19+L20+L21+L22+L23+L24+L25+L26</f>
        <v>0</v>
      </c>
      <c r="M6" s="21">
        <f t="shared" si="1"/>
        <v>783070.1</v>
      </c>
      <c r="N6" s="21">
        <f t="shared" si="1"/>
        <v>0</v>
      </c>
      <c r="O6" s="21">
        <f t="shared" si="1"/>
        <v>0</v>
      </c>
      <c r="P6" s="21">
        <f t="shared" si="1"/>
        <v>0</v>
      </c>
    </row>
    <row r="7" spans="1:16" s="5" customFormat="1">
      <c r="A7" s="22"/>
      <c r="B7" s="23" t="s">
        <v>20</v>
      </c>
      <c r="C7" s="24">
        <f t="shared" ref="C7:C13" si="2">E7+F7+G7</f>
        <v>1381679.49</v>
      </c>
      <c r="D7" s="25"/>
      <c r="E7" s="25"/>
      <c r="F7" s="24">
        <v>716433.85</v>
      </c>
      <c r="G7" s="24">
        <v>665245.64</v>
      </c>
      <c r="H7" s="26"/>
      <c r="I7" s="24"/>
      <c r="J7" s="24"/>
      <c r="K7" s="27"/>
      <c r="L7" s="24">
        <f t="shared" ref="L7:L13" si="3">N7+O7+P7</f>
        <v>0</v>
      </c>
      <c r="M7" s="25"/>
      <c r="N7" s="25"/>
      <c r="O7" s="24"/>
      <c r="P7" s="24"/>
    </row>
    <row r="8" spans="1:16" s="1" customFormat="1">
      <c r="A8" s="28"/>
      <c r="B8" s="29" t="s">
        <v>21</v>
      </c>
      <c r="C8" s="24">
        <f t="shared" si="2"/>
        <v>17894.79</v>
      </c>
      <c r="D8" s="24"/>
      <c r="E8" s="24">
        <f>4000+13894.79</f>
        <v>17894.79</v>
      </c>
      <c r="F8" s="30"/>
      <c r="G8" s="30"/>
      <c r="H8" s="31"/>
      <c r="I8" s="31"/>
      <c r="J8" s="31"/>
      <c r="K8" s="31"/>
      <c r="L8" s="24">
        <f t="shared" si="3"/>
        <v>0</v>
      </c>
      <c r="M8" s="24"/>
      <c r="N8" s="24"/>
      <c r="O8" s="30"/>
      <c r="P8" s="30"/>
    </row>
    <row r="9" spans="1:16" s="1" customFormat="1">
      <c r="A9" s="28"/>
      <c r="B9" s="32" t="s">
        <v>22</v>
      </c>
      <c r="C9" s="24">
        <f t="shared" si="2"/>
        <v>0</v>
      </c>
      <c r="D9" s="24"/>
      <c r="E9" s="24"/>
      <c r="F9" s="30"/>
      <c r="G9" s="30"/>
      <c r="H9" s="31"/>
      <c r="I9" s="31"/>
      <c r="J9" s="31"/>
      <c r="K9" s="31"/>
      <c r="L9" s="24">
        <f t="shared" si="3"/>
        <v>0</v>
      </c>
      <c r="M9" s="24"/>
      <c r="N9" s="24"/>
      <c r="O9" s="30"/>
      <c r="P9" s="30"/>
    </row>
    <row r="10" spans="1:16" s="1" customFormat="1">
      <c r="A10" s="28"/>
      <c r="B10" s="32" t="s">
        <v>23</v>
      </c>
      <c r="C10" s="24">
        <f t="shared" si="2"/>
        <v>113131.93</v>
      </c>
      <c r="D10" s="24">
        <v>69949.320000000007</v>
      </c>
      <c r="E10" s="33">
        <v>113131.93</v>
      </c>
      <c r="F10" s="30"/>
      <c r="G10" s="30"/>
      <c r="H10" s="31"/>
      <c r="I10" s="31"/>
      <c r="J10" s="31"/>
      <c r="K10" s="31"/>
      <c r="L10" s="24">
        <f t="shared" si="3"/>
        <v>0</v>
      </c>
      <c r="M10" s="24">
        <v>69949.320000000007</v>
      </c>
      <c r="N10" s="33"/>
      <c r="O10" s="30"/>
      <c r="P10" s="30"/>
    </row>
    <row r="11" spans="1:16" s="1" customFormat="1">
      <c r="A11" s="28"/>
      <c r="B11" s="29" t="s">
        <v>24</v>
      </c>
      <c r="C11" s="24">
        <f t="shared" si="2"/>
        <v>159940.44</v>
      </c>
      <c r="D11" s="24">
        <v>68151.27</v>
      </c>
      <c r="E11" s="24">
        <f>12935.7+143254.56+253.81</f>
        <v>156444.07</v>
      </c>
      <c r="F11" s="30">
        <v>3496.37</v>
      </c>
      <c r="G11" s="30"/>
      <c r="H11" s="31"/>
      <c r="I11" s="31"/>
      <c r="J11" s="31"/>
      <c r="K11" s="31"/>
      <c r="L11" s="24">
        <f t="shared" si="3"/>
        <v>0</v>
      </c>
      <c r="M11" s="24">
        <v>68151.27</v>
      </c>
      <c r="N11" s="24"/>
      <c r="O11" s="30"/>
      <c r="P11" s="30"/>
    </row>
    <row r="12" spans="1:16" s="1" customFormat="1">
      <c r="A12" s="28"/>
      <c r="B12" s="34" t="s">
        <v>25</v>
      </c>
      <c r="C12" s="24">
        <f t="shared" si="2"/>
        <v>12289.46</v>
      </c>
      <c r="D12" s="24"/>
      <c r="E12" s="24">
        <v>12289.46</v>
      </c>
      <c r="F12" s="30"/>
      <c r="G12" s="30"/>
      <c r="H12" s="31"/>
      <c r="I12" s="31"/>
      <c r="J12" s="31"/>
      <c r="K12" s="31"/>
      <c r="L12" s="24">
        <f t="shared" si="3"/>
        <v>0</v>
      </c>
      <c r="M12" s="24"/>
      <c r="N12" s="24"/>
      <c r="O12" s="30"/>
      <c r="P12" s="30"/>
    </row>
    <row r="13" spans="1:16" s="1" customFormat="1">
      <c r="A13" s="28"/>
      <c r="B13" s="32" t="s">
        <v>26</v>
      </c>
      <c r="C13" s="24">
        <f t="shared" si="2"/>
        <v>0</v>
      </c>
      <c r="D13" s="24"/>
      <c r="E13" s="24"/>
      <c r="F13" s="30"/>
      <c r="G13" s="30"/>
      <c r="H13" s="31"/>
      <c r="I13" s="31"/>
      <c r="J13" s="31"/>
      <c r="K13" s="31"/>
      <c r="L13" s="24">
        <f t="shared" si="3"/>
        <v>0</v>
      </c>
      <c r="M13" s="24"/>
      <c r="N13" s="24"/>
      <c r="O13" s="30"/>
      <c r="P13" s="30"/>
    </row>
    <row r="14" spans="1:16" s="1" customFormat="1" ht="30">
      <c r="A14" s="28"/>
      <c r="B14" s="35" t="s">
        <v>27</v>
      </c>
      <c r="C14" s="36">
        <f t="shared" ref="C14:G14" si="4">SUM(C15:C18)</f>
        <v>162403.72999999998</v>
      </c>
      <c r="D14" s="37">
        <f t="shared" si="4"/>
        <v>9295.24</v>
      </c>
      <c r="E14" s="37">
        <f t="shared" si="4"/>
        <v>162403.72999999998</v>
      </c>
      <c r="F14" s="36">
        <f t="shared" si="4"/>
        <v>0</v>
      </c>
      <c r="G14" s="36">
        <f t="shared" si="4"/>
        <v>0</v>
      </c>
      <c r="H14" s="31"/>
      <c r="I14" s="31"/>
      <c r="J14" s="31"/>
      <c r="K14" s="31"/>
      <c r="L14" s="36">
        <f t="shared" ref="L14:P14" si="5">SUM(L15:L18)</f>
        <v>0</v>
      </c>
      <c r="M14" s="37">
        <f t="shared" si="5"/>
        <v>9295.24</v>
      </c>
      <c r="N14" s="37">
        <f t="shared" si="5"/>
        <v>0</v>
      </c>
      <c r="O14" s="36">
        <f t="shared" si="5"/>
        <v>0</v>
      </c>
      <c r="P14" s="36">
        <f t="shared" si="5"/>
        <v>0</v>
      </c>
    </row>
    <row r="15" spans="1:16" s="1" customFormat="1">
      <c r="A15" s="28"/>
      <c r="B15" s="38" t="s">
        <v>28</v>
      </c>
      <c r="C15" s="24">
        <f t="shared" ref="C15:C25" si="6">E15+F15+G15</f>
        <v>152539.79999999999</v>
      </c>
      <c r="D15" s="24"/>
      <c r="E15" s="24">
        <v>152539.79999999999</v>
      </c>
      <c r="F15" s="30"/>
      <c r="G15" s="30"/>
      <c r="H15" s="31"/>
      <c r="I15" s="31"/>
      <c r="J15" s="31"/>
      <c r="K15" s="31"/>
      <c r="L15" s="24">
        <f t="shared" ref="L15:L25" si="7">N15+O15+P15</f>
        <v>0</v>
      </c>
      <c r="M15" s="24"/>
      <c r="N15" s="24"/>
      <c r="O15" s="30"/>
      <c r="P15" s="30"/>
    </row>
    <row r="16" spans="1:16" s="1" customFormat="1">
      <c r="A16" s="28"/>
      <c r="B16" s="38" t="s">
        <v>29</v>
      </c>
      <c r="C16" s="24">
        <f t="shared" si="6"/>
        <v>7672.75</v>
      </c>
      <c r="D16" s="24">
        <v>9251.6</v>
      </c>
      <c r="E16" s="24">
        <v>7672.75</v>
      </c>
      <c r="F16" s="30"/>
      <c r="G16" s="30"/>
      <c r="H16" s="31"/>
      <c r="I16" s="31"/>
      <c r="J16" s="31"/>
      <c r="K16" s="31"/>
      <c r="L16" s="24">
        <f t="shared" si="7"/>
        <v>0</v>
      </c>
      <c r="M16" s="24">
        <v>9251.6</v>
      </c>
      <c r="N16" s="24"/>
      <c r="O16" s="30"/>
      <c r="P16" s="30"/>
    </row>
    <row r="17" spans="1:16" s="1" customFormat="1">
      <c r="A17" s="28"/>
      <c r="B17" s="38" t="s">
        <v>30</v>
      </c>
      <c r="C17" s="24">
        <f t="shared" si="6"/>
        <v>0</v>
      </c>
      <c r="D17" s="24">
        <v>43.64</v>
      </c>
      <c r="E17" s="24"/>
      <c r="F17" s="30"/>
      <c r="G17" s="30"/>
      <c r="H17" s="31"/>
      <c r="I17" s="31"/>
      <c r="J17" s="31"/>
      <c r="K17" s="31"/>
      <c r="L17" s="24">
        <f t="shared" si="7"/>
        <v>0</v>
      </c>
      <c r="M17" s="24">
        <v>43.64</v>
      </c>
      <c r="N17" s="24"/>
      <c r="O17" s="30"/>
      <c r="P17" s="30"/>
    </row>
    <row r="18" spans="1:16" s="1" customFormat="1">
      <c r="A18" s="28"/>
      <c r="B18" s="38" t="s">
        <v>31</v>
      </c>
      <c r="C18" s="24">
        <f t="shared" si="6"/>
        <v>2191.1799999999998</v>
      </c>
      <c r="D18" s="24"/>
      <c r="E18" s="24">
        <v>2191.1799999999998</v>
      </c>
      <c r="F18" s="30"/>
      <c r="G18" s="30"/>
      <c r="H18" s="31"/>
      <c r="I18" s="31"/>
      <c r="J18" s="31"/>
      <c r="K18" s="31"/>
      <c r="L18" s="24">
        <f t="shared" si="7"/>
        <v>0</v>
      </c>
      <c r="M18" s="24"/>
      <c r="N18" s="24"/>
      <c r="O18" s="30"/>
      <c r="P18" s="30"/>
    </row>
    <row r="19" spans="1:16" s="1" customFormat="1" ht="30">
      <c r="A19" s="28"/>
      <c r="B19" s="39" t="s">
        <v>32</v>
      </c>
      <c r="C19" s="24">
        <f t="shared" si="6"/>
        <v>0</v>
      </c>
      <c r="D19" s="24"/>
      <c r="E19" s="24"/>
      <c r="F19" s="30"/>
      <c r="G19" s="30"/>
      <c r="H19" s="31"/>
      <c r="I19" s="31"/>
      <c r="J19" s="31"/>
      <c r="K19" s="31"/>
      <c r="L19" s="24">
        <f t="shared" si="7"/>
        <v>0</v>
      </c>
      <c r="M19" s="24"/>
      <c r="N19" s="24"/>
      <c r="O19" s="30"/>
      <c r="P19" s="30"/>
    </row>
    <row r="20" spans="1:16" s="1" customFormat="1" ht="30">
      <c r="A20" s="28"/>
      <c r="B20" s="39" t="s">
        <v>33</v>
      </c>
      <c r="C20" s="24">
        <f t="shared" si="6"/>
        <v>55982</v>
      </c>
      <c r="D20" s="24">
        <f>5500+22800+3000</f>
        <v>31300</v>
      </c>
      <c r="E20" s="24">
        <f>12000+21812+5758+9420+4622+2370</f>
        <v>55982</v>
      </c>
      <c r="F20" s="30"/>
      <c r="G20" s="30"/>
      <c r="H20" s="31"/>
      <c r="I20" s="31"/>
      <c r="J20" s="31"/>
      <c r="K20" s="31"/>
      <c r="L20" s="24">
        <f t="shared" si="7"/>
        <v>0</v>
      </c>
      <c r="M20" s="24">
        <f>5500+22800+3000</f>
        <v>31300</v>
      </c>
      <c r="N20" s="24"/>
      <c r="O20" s="30"/>
      <c r="P20" s="30"/>
    </row>
    <row r="21" spans="1:16" s="1" customFormat="1" ht="30">
      <c r="A21" s="28"/>
      <c r="B21" s="40" t="s">
        <v>34</v>
      </c>
      <c r="C21" s="24">
        <f t="shared" si="6"/>
        <v>0</v>
      </c>
      <c r="D21" s="24"/>
      <c r="E21" s="24"/>
      <c r="F21" s="30"/>
      <c r="G21" s="30"/>
      <c r="H21" s="31"/>
      <c r="I21" s="31"/>
      <c r="J21" s="31"/>
      <c r="K21" s="31"/>
      <c r="L21" s="24">
        <f t="shared" si="7"/>
        <v>0</v>
      </c>
      <c r="M21" s="24"/>
      <c r="N21" s="24"/>
      <c r="O21" s="30"/>
      <c r="P21" s="30"/>
    </row>
    <row r="22" spans="1:16" s="1" customFormat="1">
      <c r="A22" s="28"/>
      <c r="B22" s="40" t="s">
        <v>35</v>
      </c>
      <c r="C22" s="24">
        <f t="shared" si="6"/>
        <v>34520</v>
      </c>
      <c r="D22" s="24">
        <f>27890+4400+949.21+21+9734+6987.96</f>
        <v>49982.17</v>
      </c>
      <c r="E22" s="24">
        <f>4620+29900</f>
        <v>34520</v>
      </c>
      <c r="F22" s="30"/>
      <c r="G22" s="30"/>
      <c r="H22" s="31"/>
      <c r="I22" s="31"/>
      <c r="J22" s="31"/>
      <c r="K22" s="31"/>
      <c r="L22" s="24">
        <f t="shared" si="7"/>
        <v>0</v>
      </c>
      <c r="M22" s="24">
        <f>27890+4400+949.21+21+9734+6987.96</f>
        <v>49982.17</v>
      </c>
      <c r="N22" s="24"/>
      <c r="O22" s="30"/>
      <c r="P22" s="30"/>
    </row>
    <row r="23" spans="1:16" s="1" customFormat="1" ht="30">
      <c r="A23" s="28"/>
      <c r="B23" s="41" t="s">
        <v>36</v>
      </c>
      <c r="C23" s="24">
        <f t="shared" si="6"/>
        <v>0</v>
      </c>
      <c r="D23" s="24"/>
      <c r="E23" s="24"/>
      <c r="F23" s="30"/>
      <c r="G23" s="30"/>
      <c r="H23" s="31"/>
      <c r="I23" s="31"/>
      <c r="J23" s="31"/>
      <c r="K23" s="31"/>
      <c r="L23" s="24">
        <f t="shared" si="7"/>
        <v>0</v>
      </c>
      <c r="M23" s="24"/>
      <c r="N23" s="24"/>
      <c r="O23" s="30"/>
      <c r="P23" s="30"/>
    </row>
    <row r="24" spans="1:16" s="1" customFormat="1">
      <c r="A24" s="28"/>
      <c r="B24" s="42" t="s">
        <v>37</v>
      </c>
      <c r="C24" s="24">
        <f t="shared" si="6"/>
        <v>37726.99</v>
      </c>
      <c r="D24" s="24">
        <v>4890</v>
      </c>
      <c r="E24" s="24">
        <v>37726.99</v>
      </c>
      <c r="F24" s="30"/>
      <c r="G24" s="30"/>
      <c r="H24" s="31"/>
      <c r="I24" s="31"/>
      <c r="J24" s="31"/>
      <c r="K24" s="31"/>
      <c r="L24" s="24">
        <f t="shared" si="7"/>
        <v>0</v>
      </c>
      <c r="M24" s="24">
        <v>4890</v>
      </c>
      <c r="N24" s="24"/>
      <c r="O24" s="30"/>
      <c r="P24" s="30"/>
    </row>
    <row r="25" spans="1:16" s="1" customFormat="1" ht="30">
      <c r="A25" s="28"/>
      <c r="B25" s="42" t="s">
        <v>38</v>
      </c>
      <c r="C25" s="24">
        <f t="shared" si="6"/>
        <v>24490</v>
      </c>
      <c r="D25" s="24">
        <f>6810+15520.4+4400+2668+2050+35000+86585+52500+32900+84400+5690</f>
        <v>328523.40000000002</v>
      </c>
      <c r="E25" s="24">
        <v>24490</v>
      </c>
      <c r="F25" s="30"/>
      <c r="G25" s="30"/>
      <c r="H25" s="31"/>
      <c r="I25" s="31"/>
      <c r="J25" s="31"/>
      <c r="K25" s="31"/>
      <c r="L25" s="24">
        <f t="shared" si="7"/>
        <v>0</v>
      </c>
      <c r="M25" s="24">
        <f>6810+15520.4+4400+2668+2050+35000+86585+52500+32900+84400+5690</f>
        <v>328523.40000000002</v>
      </c>
      <c r="N25" s="24"/>
      <c r="O25" s="30"/>
      <c r="P25" s="30"/>
    </row>
    <row r="26" spans="1:16" s="1" customFormat="1" ht="30">
      <c r="A26" s="28"/>
      <c r="B26" s="43" t="s">
        <v>39</v>
      </c>
      <c r="C26" s="36">
        <f t="shared" ref="C26:G26" si="8">SUM(C27:C33)</f>
        <v>190118.91999999998</v>
      </c>
      <c r="D26" s="37">
        <f t="shared" si="8"/>
        <v>220978.69999999998</v>
      </c>
      <c r="E26" s="37">
        <f t="shared" si="8"/>
        <v>94332.989999999991</v>
      </c>
      <c r="F26" s="36">
        <f t="shared" si="8"/>
        <v>95785.93</v>
      </c>
      <c r="G26" s="36">
        <f t="shared" si="8"/>
        <v>0</v>
      </c>
      <c r="H26" s="31"/>
      <c r="I26" s="31"/>
      <c r="J26" s="31"/>
      <c r="K26" s="31"/>
      <c r="L26" s="36">
        <f t="shared" ref="L26:P26" si="9">SUM(L27:L33)</f>
        <v>0</v>
      </c>
      <c r="M26" s="37">
        <f t="shared" si="9"/>
        <v>220978.69999999998</v>
      </c>
      <c r="N26" s="37">
        <f t="shared" si="9"/>
        <v>0</v>
      </c>
      <c r="O26" s="36">
        <f t="shared" si="9"/>
        <v>0</v>
      </c>
      <c r="P26" s="36">
        <f t="shared" si="9"/>
        <v>0</v>
      </c>
    </row>
    <row r="27" spans="1:16" s="1" customFormat="1" ht="30">
      <c r="A27" s="28" t="s">
        <v>40</v>
      </c>
      <c r="B27" s="39" t="s">
        <v>41</v>
      </c>
      <c r="C27" s="24">
        <f t="shared" ref="C27:C33" si="10">E27+F27+G27</f>
        <v>0</v>
      </c>
      <c r="D27" s="24">
        <v>348.1</v>
      </c>
      <c r="E27" s="24"/>
      <c r="F27" s="30"/>
      <c r="G27" s="30"/>
      <c r="H27" s="31"/>
      <c r="I27" s="31"/>
      <c r="J27" s="31"/>
      <c r="K27" s="31"/>
      <c r="L27" s="24">
        <f t="shared" ref="L27:L33" si="11">N27+O27+P27</f>
        <v>0</v>
      </c>
      <c r="M27" s="24">
        <v>348.1</v>
      </c>
      <c r="N27" s="24"/>
      <c r="O27" s="30"/>
      <c r="P27" s="30"/>
    </row>
    <row r="28" spans="1:16" s="1" customFormat="1">
      <c r="A28" s="28"/>
      <c r="B28" s="39" t="s">
        <v>42</v>
      </c>
      <c r="C28" s="24">
        <f t="shared" si="10"/>
        <v>0</v>
      </c>
      <c r="D28" s="44"/>
      <c r="E28" s="24"/>
      <c r="F28" s="30"/>
      <c r="G28" s="30"/>
      <c r="H28" s="31"/>
      <c r="I28" s="31"/>
      <c r="J28" s="31"/>
      <c r="K28" s="31"/>
      <c r="L28" s="24">
        <f t="shared" si="11"/>
        <v>0</v>
      </c>
      <c r="M28" s="44"/>
      <c r="N28" s="24"/>
      <c r="O28" s="30"/>
      <c r="P28" s="30"/>
    </row>
    <row r="29" spans="1:16" s="1" customFormat="1">
      <c r="A29" s="28"/>
      <c r="B29" s="39" t="s">
        <v>43</v>
      </c>
      <c r="C29" s="24">
        <f t="shared" si="10"/>
        <v>0</v>
      </c>
      <c r="D29" s="24">
        <v>2.2999999999999998</v>
      </c>
      <c r="E29" s="24"/>
      <c r="F29" s="30"/>
      <c r="G29" s="30"/>
      <c r="H29" s="31"/>
      <c r="I29" s="31"/>
      <c r="J29" s="31"/>
      <c r="K29" s="31"/>
      <c r="L29" s="24">
        <f t="shared" si="11"/>
        <v>0</v>
      </c>
      <c r="M29" s="24">
        <v>2.2999999999999998</v>
      </c>
      <c r="N29" s="24"/>
      <c r="O29" s="30"/>
      <c r="P29" s="30"/>
    </row>
    <row r="30" spans="1:16" s="1" customFormat="1">
      <c r="A30" s="28"/>
      <c r="B30" s="39" t="s">
        <v>44</v>
      </c>
      <c r="C30" s="24">
        <f t="shared" si="10"/>
        <v>175724.41999999998</v>
      </c>
      <c r="D30" s="24">
        <v>1035</v>
      </c>
      <c r="E30" s="24">
        <f>24360+55578.49</f>
        <v>79938.489999999991</v>
      </c>
      <c r="F30" s="30">
        <f>2807+50+17943.36+20645.97+11600+42739.6</f>
        <v>95785.93</v>
      </c>
      <c r="G30" s="30"/>
      <c r="H30" s="31"/>
      <c r="I30" s="31"/>
      <c r="J30" s="31"/>
      <c r="K30" s="31"/>
      <c r="L30" s="24">
        <f t="shared" si="11"/>
        <v>0</v>
      </c>
      <c r="M30" s="24">
        <v>1035</v>
      </c>
      <c r="N30" s="24"/>
      <c r="O30" s="30"/>
      <c r="P30" s="30"/>
    </row>
    <row r="31" spans="1:16" s="1" customFormat="1">
      <c r="A31" s="28"/>
      <c r="B31" s="39" t="s">
        <v>45</v>
      </c>
      <c r="C31" s="24">
        <f t="shared" si="10"/>
        <v>0</v>
      </c>
      <c r="D31" s="24"/>
      <c r="E31" s="24"/>
      <c r="F31" s="30"/>
      <c r="G31" s="30"/>
      <c r="H31" s="31"/>
      <c r="I31" s="31"/>
      <c r="J31" s="31"/>
      <c r="K31" s="31"/>
      <c r="L31" s="24">
        <f t="shared" si="11"/>
        <v>0</v>
      </c>
      <c r="M31" s="24"/>
      <c r="N31" s="24"/>
      <c r="O31" s="30"/>
      <c r="P31" s="30"/>
    </row>
    <row r="32" spans="1:16" s="1" customFormat="1" ht="30">
      <c r="A32" s="28"/>
      <c r="B32" s="39" t="s">
        <v>46</v>
      </c>
      <c r="C32" s="24">
        <f t="shared" si="10"/>
        <v>0</v>
      </c>
      <c r="D32" s="30"/>
      <c r="E32" s="24"/>
      <c r="F32" s="30"/>
      <c r="G32" s="30"/>
      <c r="H32" s="31"/>
      <c r="I32" s="31"/>
      <c r="J32" s="31"/>
      <c r="K32" s="31"/>
      <c r="L32" s="24">
        <f t="shared" si="11"/>
        <v>0</v>
      </c>
      <c r="M32" s="30"/>
      <c r="N32" s="24"/>
      <c r="O32" s="30"/>
      <c r="P32" s="30"/>
    </row>
    <row r="33" spans="1:16" s="1" customFormat="1">
      <c r="A33" s="28"/>
      <c r="B33" s="39" t="s">
        <v>47</v>
      </c>
      <c r="C33" s="24">
        <f t="shared" si="10"/>
        <v>14394.5</v>
      </c>
      <c r="D33" s="30">
        <f>77880+7625+605+32482.5+157+6917.5+9700+1875+10+2+100+11165.8+30000+429+30650+9994.5</f>
        <v>219593.3</v>
      </c>
      <c r="E33" s="24">
        <f>14394.5</f>
        <v>14394.5</v>
      </c>
      <c r="F33" s="30"/>
      <c r="G33" s="30"/>
      <c r="H33" s="31"/>
      <c r="I33" s="31"/>
      <c r="J33" s="31"/>
      <c r="K33" s="31"/>
      <c r="L33" s="24">
        <f t="shared" si="11"/>
        <v>0</v>
      </c>
      <c r="M33" s="30">
        <f>77880+7625+605+32482.5+157+6917.5+9700+1875+10+2+100+11165.8+30000+429+30650+9994.5</f>
        <v>219593.3</v>
      </c>
      <c r="N33" s="24"/>
      <c r="O33" s="30"/>
      <c r="P33" s="30"/>
    </row>
    <row r="34" spans="1:16" s="1" customFormat="1" ht="36.75" customHeight="1">
      <c r="A34" s="211" t="s">
        <v>3</v>
      </c>
      <c r="B34" s="213" t="s">
        <v>4</v>
      </c>
      <c r="C34" s="213" t="s">
        <v>5</v>
      </c>
      <c r="D34" s="10" t="s">
        <v>6</v>
      </c>
      <c r="E34" s="215" t="s">
        <v>7</v>
      </c>
      <c r="F34" s="216"/>
      <c r="G34" s="217"/>
      <c r="H34" s="218" t="s">
        <v>8</v>
      </c>
      <c r="I34" s="218"/>
      <c r="J34" s="218"/>
      <c r="K34" s="11"/>
      <c r="L34" s="219" t="s">
        <v>9</v>
      </c>
      <c r="M34" s="12" t="s">
        <v>6</v>
      </c>
      <c r="N34" s="208" t="s">
        <v>10</v>
      </c>
      <c r="O34" s="209"/>
      <c r="P34" s="210"/>
    </row>
    <row r="35" spans="1:16" s="1" customFormat="1" ht="47.25" customHeight="1">
      <c r="A35" s="212"/>
      <c r="B35" s="214"/>
      <c r="C35" s="214"/>
      <c r="D35" s="13" t="s">
        <v>11</v>
      </c>
      <c r="E35" s="13" t="s">
        <v>12</v>
      </c>
      <c r="F35" s="13" t="s">
        <v>13</v>
      </c>
      <c r="G35" s="13" t="s">
        <v>14</v>
      </c>
      <c r="H35" s="14" t="s">
        <v>15</v>
      </c>
      <c r="I35" s="14" t="s">
        <v>16</v>
      </c>
      <c r="J35" s="14" t="s">
        <v>17</v>
      </c>
      <c r="K35" s="14" t="s">
        <v>18</v>
      </c>
      <c r="L35" s="220"/>
      <c r="M35" s="15" t="s">
        <v>11</v>
      </c>
      <c r="N35" s="15" t="s">
        <v>12</v>
      </c>
      <c r="O35" s="15" t="s">
        <v>13</v>
      </c>
      <c r="P35" s="15" t="s">
        <v>14</v>
      </c>
    </row>
    <row r="36" spans="1:16" s="1" customFormat="1">
      <c r="A36" s="16">
        <v>2</v>
      </c>
      <c r="B36" s="17" t="s">
        <v>48</v>
      </c>
      <c r="C36" s="18">
        <f t="shared" ref="C36:G36" si="12">C37+C38+C39+C40+C41+C42+C43+C44+C49+C50+C51+C52+C53+C54+C55+C56</f>
        <v>1905661.3900000001</v>
      </c>
      <c r="D36" s="18">
        <f t="shared" si="12"/>
        <v>714761.65000000014</v>
      </c>
      <c r="E36" s="18">
        <f t="shared" si="12"/>
        <v>571287.28</v>
      </c>
      <c r="F36" s="18">
        <f t="shared" si="12"/>
        <v>1334374.1099999999</v>
      </c>
      <c r="G36" s="18">
        <f t="shared" si="12"/>
        <v>0</v>
      </c>
      <c r="H36" s="19"/>
      <c r="I36" s="20"/>
      <c r="J36" s="20"/>
      <c r="K36" s="11"/>
      <c r="L36" s="18">
        <f t="shared" ref="L36:P36" si="13">L37+L38+L39+L40+L41+L42+L43+L44+L49+L50+L51+L52+L53+L54+L55+L56</f>
        <v>0</v>
      </c>
      <c r="M36" s="18">
        <f t="shared" si="13"/>
        <v>714761.65000000014</v>
      </c>
      <c r="N36" s="18">
        <f t="shared" si="13"/>
        <v>0</v>
      </c>
      <c r="O36" s="18">
        <f t="shared" si="13"/>
        <v>0</v>
      </c>
      <c r="P36" s="18">
        <f t="shared" si="13"/>
        <v>0</v>
      </c>
    </row>
    <row r="37" spans="1:16" s="1" customFormat="1">
      <c r="A37" s="22"/>
      <c r="B37" s="23" t="s">
        <v>20</v>
      </c>
      <c r="C37" s="24">
        <f t="shared" ref="C37:C43" si="14">E37+F37+G37</f>
        <v>373656.44</v>
      </c>
      <c r="D37" s="24"/>
      <c r="E37" s="25"/>
      <c r="F37" s="24">
        <v>373656.44</v>
      </c>
      <c r="G37" s="25"/>
      <c r="H37" s="26"/>
      <c r="I37" s="24"/>
      <c r="J37" s="24"/>
      <c r="K37" s="27"/>
      <c r="L37" s="24">
        <f t="shared" ref="L37:L43" si="15">N37+O37+P37</f>
        <v>0</v>
      </c>
      <c r="M37" s="24"/>
      <c r="N37" s="25"/>
      <c r="O37" s="24"/>
      <c r="P37" s="25"/>
    </row>
    <row r="38" spans="1:16" s="1" customFormat="1">
      <c r="A38" s="28"/>
      <c r="B38" s="29" t="s">
        <v>21</v>
      </c>
      <c r="C38" s="24">
        <f t="shared" si="14"/>
        <v>47255.27</v>
      </c>
      <c r="D38" s="30">
        <f>45663.75+8666.88</f>
        <v>54330.63</v>
      </c>
      <c r="E38" s="30">
        <f>15857.56+13596.71</f>
        <v>29454.269999999997</v>
      </c>
      <c r="F38" s="30">
        <v>17801</v>
      </c>
      <c r="G38" s="30"/>
      <c r="H38" s="31"/>
      <c r="I38" s="31"/>
      <c r="J38" s="31"/>
      <c r="K38" s="31"/>
      <c r="L38" s="24">
        <f t="shared" si="15"/>
        <v>0</v>
      </c>
      <c r="M38" s="30">
        <f>45663.75+8666.88</f>
        <v>54330.63</v>
      </c>
      <c r="N38" s="30"/>
      <c r="O38" s="30"/>
      <c r="P38" s="30"/>
    </row>
    <row r="39" spans="1:16" s="1" customFormat="1">
      <c r="A39" s="28"/>
      <c r="B39" s="32" t="s">
        <v>22</v>
      </c>
      <c r="C39" s="24">
        <f t="shared" si="14"/>
        <v>0</v>
      </c>
      <c r="D39" s="30"/>
      <c r="E39" s="30"/>
      <c r="F39" s="30"/>
      <c r="G39" s="30"/>
      <c r="H39" s="31"/>
      <c r="I39" s="31"/>
      <c r="J39" s="31"/>
      <c r="K39" s="31"/>
      <c r="L39" s="24">
        <f t="shared" si="15"/>
        <v>0</v>
      </c>
      <c r="M39" s="30"/>
      <c r="N39" s="30"/>
      <c r="O39" s="30"/>
      <c r="P39" s="30"/>
    </row>
    <row r="40" spans="1:16" s="1" customFormat="1">
      <c r="A40" s="28"/>
      <c r="B40" s="32" t="s">
        <v>23</v>
      </c>
      <c r="C40" s="24">
        <f t="shared" si="14"/>
        <v>0</v>
      </c>
      <c r="D40" s="24"/>
      <c r="E40" s="24"/>
      <c r="F40" s="30"/>
      <c r="G40" s="30"/>
      <c r="H40" s="31"/>
      <c r="I40" s="31"/>
      <c r="J40" s="31"/>
      <c r="K40" s="31"/>
      <c r="L40" s="24">
        <f t="shared" si="15"/>
        <v>0</v>
      </c>
      <c r="M40" s="24"/>
      <c r="N40" s="24"/>
      <c r="O40" s="30"/>
      <c r="P40" s="30"/>
    </row>
    <row r="41" spans="1:16" s="1" customFormat="1">
      <c r="A41" s="28"/>
      <c r="B41" s="29" t="s">
        <v>24</v>
      </c>
      <c r="C41" s="24">
        <f t="shared" si="14"/>
        <v>245393.84999999998</v>
      </c>
      <c r="D41" s="24">
        <f>384959.59+7730.75</f>
        <v>392690.34</v>
      </c>
      <c r="E41" s="24">
        <f>227088.93+31.93</f>
        <v>227120.86</v>
      </c>
      <c r="F41" s="30">
        <f>5621.9+12651.09</f>
        <v>18272.989999999998</v>
      </c>
      <c r="G41" s="30"/>
      <c r="H41" s="31"/>
      <c r="I41" s="31"/>
      <c r="J41" s="31"/>
      <c r="K41" s="31"/>
      <c r="L41" s="24">
        <f t="shared" si="15"/>
        <v>0</v>
      </c>
      <c r="M41" s="24">
        <f>384959.59+7730.75</f>
        <v>392690.34</v>
      </c>
      <c r="N41" s="24"/>
      <c r="O41" s="30"/>
      <c r="P41" s="30"/>
    </row>
    <row r="42" spans="1:16" s="1" customFormat="1">
      <c r="A42" s="28"/>
      <c r="B42" s="34" t="s">
        <v>25</v>
      </c>
      <c r="C42" s="24">
        <f t="shared" si="14"/>
        <v>0</v>
      </c>
      <c r="D42" s="24">
        <v>9568.7800000000007</v>
      </c>
      <c r="E42" s="24"/>
      <c r="F42" s="30"/>
      <c r="G42" s="30"/>
      <c r="H42" s="31"/>
      <c r="I42" s="31"/>
      <c r="J42" s="31"/>
      <c r="K42" s="31"/>
      <c r="L42" s="24">
        <f t="shared" si="15"/>
        <v>0</v>
      </c>
      <c r="M42" s="24">
        <v>9568.7800000000007</v>
      </c>
      <c r="N42" s="24"/>
      <c r="O42" s="30"/>
      <c r="P42" s="30"/>
    </row>
    <row r="43" spans="1:16" s="1" customFormat="1">
      <c r="A43" s="28"/>
      <c r="B43" s="32" t="s">
        <v>26</v>
      </c>
      <c r="C43" s="24">
        <f t="shared" si="14"/>
        <v>0</v>
      </c>
      <c r="D43" s="24"/>
      <c r="E43" s="24"/>
      <c r="F43" s="30"/>
      <c r="G43" s="30"/>
      <c r="H43" s="31"/>
      <c r="I43" s="31"/>
      <c r="J43" s="31"/>
      <c r="K43" s="31"/>
      <c r="L43" s="24">
        <f t="shared" si="15"/>
        <v>0</v>
      </c>
      <c r="M43" s="24"/>
      <c r="N43" s="24"/>
      <c r="O43" s="30"/>
      <c r="P43" s="30"/>
    </row>
    <row r="44" spans="1:16" s="1" customFormat="1" ht="30">
      <c r="A44" s="28"/>
      <c r="B44" s="35" t="s">
        <v>27</v>
      </c>
      <c r="C44" s="36">
        <f t="shared" ref="C44:G44" si="16">SUM(C45:C48)</f>
        <v>980.31</v>
      </c>
      <c r="D44" s="37">
        <f t="shared" si="16"/>
        <v>71069.320000000007</v>
      </c>
      <c r="E44" s="37">
        <f t="shared" si="16"/>
        <v>980.31</v>
      </c>
      <c r="F44" s="36">
        <f t="shared" si="16"/>
        <v>0</v>
      </c>
      <c r="G44" s="36">
        <f t="shared" si="16"/>
        <v>0</v>
      </c>
      <c r="H44" s="31"/>
      <c r="I44" s="31"/>
      <c r="J44" s="31"/>
      <c r="K44" s="31"/>
      <c r="L44" s="36">
        <f t="shared" ref="L44:P44" si="17">SUM(L45:L48)</f>
        <v>0</v>
      </c>
      <c r="M44" s="37">
        <f t="shared" si="17"/>
        <v>71069.320000000007</v>
      </c>
      <c r="N44" s="37">
        <f t="shared" si="17"/>
        <v>0</v>
      </c>
      <c r="O44" s="36">
        <f t="shared" si="17"/>
        <v>0</v>
      </c>
      <c r="P44" s="36">
        <f t="shared" si="17"/>
        <v>0</v>
      </c>
    </row>
    <row r="45" spans="1:16" s="1" customFormat="1">
      <c r="A45" s="28"/>
      <c r="B45" s="38" t="s">
        <v>28</v>
      </c>
      <c r="C45" s="24">
        <f t="shared" ref="C45:C55" si="18">E45+F45+G45</f>
        <v>0</v>
      </c>
      <c r="D45" s="24">
        <v>12645.74</v>
      </c>
      <c r="E45" s="24"/>
      <c r="F45" s="30"/>
      <c r="G45" s="30"/>
      <c r="H45" s="31"/>
      <c r="I45" s="31"/>
      <c r="J45" s="31"/>
      <c r="K45" s="31"/>
      <c r="L45" s="24">
        <f t="shared" ref="L45:L55" si="19">N45+O45+P45</f>
        <v>0</v>
      </c>
      <c r="M45" s="24">
        <v>12645.74</v>
      </c>
      <c r="N45" s="24"/>
      <c r="O45" s="30"/>
      <c r="P45" s="30"/>
    </row>
    <row r="46" spans="1:16" s="1" customFormat="1">
      <c r="A46" s="28"/>
      <c r="B46" s="38" t="s">
        <v>29</v>
      </c>
      <c r="C46" s="24">
        <f t="shared" si="18"/>
        <v>0</v>
      </c>
      <c r="D46" s="24">
        <v>7257.88</v>
      </c>
      <c r="E46" s="24"/>
      <c r="F46" s="30"/>
      <c r="G46" s="30"/>
      <c r="H46" s="31"/>
      <c r="I46" s="31"/>
      <c r="J46" s="31"/>
      <c r="K46" s="31"/>
      <c r="L46" s="24">
        <f t="shared" si="19"/>
        <v>0</v>
      </c>
      <c r="M46" s="24">
        <v>7257.88</v>
      </c>
      <c r="N46" s="24"/>
      <c r="O46" s="30"/>
      <c r="P46" s="30"/>
    </row>
    <row r="47" spans="1:16" s="1" customFormat="1">
      <c r="A47" s="28"/>
      <c r="B47" s="38" t="s">
        <v>30</v>
      </c>
      <c r="C47" s="24">
        <f t="shared" si="18"/>
        <v>980.31</v>
      </c>
      <c r="D47" s="24">
        <v>23962.41</v>
      </c>
      <c r="E47" s="24">
        <v>980.31</v>
      </c>
      <c r="F47" s="30"/>
      <c r="G47" s="30"/>
      <c r="H47" s="31"/>
      <c r="I47" s="31"/>
      <c r="J47" s="31"/>
      <c r="K47" s="31"/>
      <c r="L47" s="24">
        <f t="shared" si="19"/>
        <v>0</v>
      </c>
      <c r="M47" s="24">
        <v>23962.41</v>
      </c>
      <c r="N47" s="24"/>
      <c r="O47" s="30"/>
      <c r="P47" s="30"/>
    </row>
    <row r="48" spans="1:16" s="1" customFormat="1">
      <c r="A48" s="28"/>
      <c r="B48" s="38" t="s">
        <v>31</v>
      </c>
      <c r="C48" s="24">
        <f t="shared" si="18"/>
        <v>0</v>
      </c>
      <c r="D48" s="24">
        <v>27203.29</v>
      </c>
      <c r="E48" s="24"/>
      <c r="F48" s="30"/>
      <c r="G48" s="30"/>
      <c r="H48" s="31"/>
      <c r="I48" s="31"/>
      <c r="J48" s="31"/>
      <c r="K48" s="31"/>
      <c r="L48" s="24">
        <f t="shared" si="19"/>
        <v>0</v>
      </c>
      <c r="M48" s="24">
        <v>27203.29</v>
      </c>
      <c r="N48" s="24"/>
      <c r="O48" s="30"/>
      <c r="P48" s="30"/>
    </row>
    <row r="49" spans="1:16" s="1" customFormat="1" ht="30">
      <c r="A49" s="28"/>
      <c r="B49" s="39" t="s">
        <v>32</v>
      </c>
      <c r="C49" s="24">
        <f t="shared" si="18"/>
        <v>0</v>
      </c>
      <c r="D49" s="24"/>
      <c r="E49" s="24"/>
      <c r="F49" s="30"/>
      <c r="G49" s="30"/>
      <c r="H49" s="31"/>
      <c r="I49" s="31"/>
      <c r="J49" s="31"/>
      <c r="K49" s="31"/>
      <c r="L49" s="24">
        <f t="shared" si="19"/>
        <v>0</v>
      </c>
      <c r="M49" s="24"/>
      <c r="N49" s="24"/>
      <c r="O49" s="30"/>
      <c r="P49" s="30"/>
    </row>
    <row r="50" spans="1:16" s="1" customFormat="1" ht="30">
      <c r="A50" s="28"/>
      <c r="B50" s="39" t="s">
        <v>33</v>
      </c>
      <c r="C50" s="24">
        <f t="shared" si="18"/>
        <v>0</v>
      </c>
      <c r="D50" s="24">
        <f>2129.56+6166</f>
        <v>8295.56</v>
      </c>
      <c r="E50" s="24"/>
      <c r="F50" s="30"/>
      <c r="G50" s="30"/>
      <c r="H50" s="31"/>
      <c r="I50" s="31"/>
      <c r="J50" s="31"/>
      <c r="K50" s="31"/>
      <c r="L50" s="24">
        <f t="shared" si="19"/>
        <v>0</v>
      </c>
      <c r="M50" s="24">
        <f>2129.56+6166</f>
        <v>8295.56</v>
      </c>
      <c r="N50" s="24"/>
      <c r="O50" s="30"/>
      <c r="P50" s="30"/>
    </row>
    <row r="51" spans="1:16" s="1" customFormat="1" ht="30">
      <c r="A51" s="28"/>
      <c r="B51" s="40" t="s">
        <v>34</v>
      </c>
      <c r="C51" s="24">
        <f t="shared" si="18"/>
        <v>0</v>
      </c>
      <c r="D51" s="30">
        <v>1609</v>
      </c>
      <c r="E51" s="30"/>
      <c r="F51" s="30"/>
      <c r="G51" s="30"/>
      <c r="H51" s="31"/>
      <c r="I51" s="31"/>
      <c r="J51" s="31"/>
      <c r="K51" s="31"/>
      <c r="L51" s="24">
        <f t="shared" si="19"/>
        <v>0</v>
      </c>
      <c r="M51" s="30">
        <v>1609</v>
      </c>
      <c r="N51" s="30"/>
      <c r="O51" s="30"/>
      <c r="P51" s="30"/>
    </row>
    <row r="52" spans="1:16" s="1" customFormat="1">
      <c r="A52" s="28"/>
      <c r="B52" s="40" t="s">
        <v>35</v>
      </c>
      <c r="C52" s="24">
        <f t="shared" si="18"/>
        <v>0</v>
      </c>
      <c r="D52" s="30">
        <f>500+20000+9593.99</f>
        <v>30093.989999999998</v>
      </c>
      <c r="E52" s="30"/>
      <c r="F52" s="30"/>
      <c r="G52" s="30"/>
      <c r="H52" s="31"/>
      <c r="I52" s="31"/>
      <c r="J52" s="31"/>
      <c r="K52" s="31"/>
      <c r="L52" s="24">
        <f t="shared" si="19"/>
        <v>0</v>
      </c>
      <c r="M52" s="30">
        <f>500+20000+9593.99</f>
        <v>30093.989999999998</v>
      </c>
      <c r="N52" s="30"/>
      <c r="O52" s="30"/>
      <c r="P52" s="30"/>
    </row>
    <row r="53" spans="1:16" s="1" customFormat="1" ht="30">
      <c r="A53" s="28"/>
      <c r="B53" s="41" t="s">
        <v>36</v>
      </c>
      <c r="C53" s="24">
        <f t="shared" si="18"/>
        <v>0</v>
      </c>
      <c r="D53" s="24"/>
      <c r="E53" s="24"/>
      <c r="F53" s="30"/>
      <c r="G53" s="30"/>
      <c r="H53" s="31"/>
      <c r="I53" s="31"/>
      <c r="J53" s="31"/>
      <c r="K53" s="31"/>
      <c r="L53" s="24">
        <f t="shared" si="19"/>
        <v>0</v>
      </c>
      <c r="M53" s="24"/>
      <c r="N53" s="24"/>
      <c r="O53" s="30"/>
      <c r="P53" s="30"/>
    </row>
    <row r="54" spans="1:16" s="1" customFormat="1">
      <c r="A54" s="28"/>
      <c r="B54" s="42" t="s">
        <v>37</v>
      </c>
      <c r="C54" s="24">
        <f t="shared" si="18"/>
        <v>0</v>
      </c>
      <c r="D54" s="24">
        <f>2413.49+59190.48+3826</f>
        <v>65429.97</v>
      </c>
      <c r="E54" s="24"/>
      <c r="F54" s="30"/>
      <c r="G54" s="30"/>
      <c r="H54" s="31"/>
      <c r="I54" s="31"/>
      <c r="J54" s="31"/>
      <c r="K54" s="31"/>
      <c r="L54" s="24">
        <f t="shared" si="19"/>
        <v>0</v>
      </c>
      <c r="M54" s="24">
        <f>2413.49+59190.48+3826</f>
        <v>65429.97</v>
      </c>
      <c r="N54" s="24"/>
      <c r="O54" s="30"/>
      <c r="P54" s="30"/>
    </row>
    <row r="55" spans="1:16" s="1" customFormat="1" ht="30">
      <c r="A55" s="28"/>
      <c r="B55" s="42" t="s">
        <v>38</v>
      </c>
      <c r="C55" s="24">
        <f t="shared" si="18"/>
        <v>0</v>
      </c>
      <c r="D55" s="24">
        <v>49970</v>
      </c>
      <c r="E55" s="24"/>
      <c r="F55" s="30"/>
      <c r="G55" s="30"/>
      <c r="H55" s="31"/>
      <c r="I55" s="31"/>
      <c r="J55" s="31"/>
      <c r="K55" s="31"/>
      <c r="L55" s="24">
        <f t="shared" si="19"/>
        <v>0</v>
      </c>
      <c r="M55" s="24">
        <v>49970</v>
      </c>
      <c r="N55" s="24"/>
      <c r="O55" s="30"/>
      <c r="P55" s="30"/>
    </row>
    <row r="56" spans="1:16" s="1" customFormat="1" ht="30">
      <c r="A56" s="28"/>
      <c r="B56" s="43" t="s">
        <v>39</v>
      </c>
      <c r="C56" s="36">
        <f t="shared" ref="C56:G56" si="20">SUM(C57:C63)</f>
        <v>1238375.52</v>
      </c>
      <c r="D56" s="37">
        <f t="shared" si="20"/>
        <v>31704.06</v>
      </c>
      <c r="E56" s="37">
        <f t="shared" si="20"/>
        <v>313731.84000000003</v>
      </c>
      <c r="F56" s="36">
        <f t="shared" si="20"/>
        <v>924643.67999999993</v>
      </c>
      <c r="G56" s="36">
        <f t="shared" si="20"/>
        <v>0</v>
      </c>
      <c r="H56" s="31"/>
      <c r="I56" s="31"/>
      <c r="J56" s="31"/>
      <c r="K56" s="31"/>
      <c r="L56" s="36">
        <f t="shared" ref="L56:P56" si="21">SUM(L57:L63)</f>
        <v>0</v>
      </c>
      <c r="M56" s="37">
        <f t="shared" si="21"/>
        <v>31704.06</v>
      </c>
      <c r="N56" s="37">
        <f t="shared" si="21"/>
        <v>0</v>
      </c>
      <c r="O56" s="36">
        <f t="shared" si="21"/>
        <v>0</v>
      </c>
      <c r="P56" s="36">
        <f t="shared" si="21"/>
        <v>0</v>
      </c>
    </row>
    <row r="57" spans="1:16" s="1" customFormat="1" ht="30">
      <c r="A57" s="28" t="s">
        <v>40</v>
      </c>
      <c r="B57" s="39" t="s">
        <v>41</v>
      </c>
      <c r="C57" s="24">
        <f t="shared" ref="C57:C63" si="22">E57+F57+G57</f>
        <v>0</v>
      </c>
      <c r="D57" s="24"/>
      <c r="E57" s="24"/>
      <c r="F57" s="30"/>
      <c r="G57" s="30"/>
      <c r="H57" s="31"/>
      <c r="I57" s="31"/>
      <c r="J57" s="31"/>
      <c r="K57" s="31"/>
      <c r="L57" s="24">
        <f t="shared" ref="L57:L63" si="23">N57+O57+P57</f>
        <v>0</v>
      </c>
      <c r="M57" s="24"/>
      <c r="N57" s="24"/>
      <c r="O57" s="30"/>
      <c r="P57" s="30"/>
    </row>
    <row r="58" spans="1:16" s="1" customFormat="1">
      <c r="A58" s="28"/>
      <c r="B58" s="39" t="s">
        <v>42</v>
      </c>
      <c r="C58" s="24">
        <f t="shared" si="22"/>
        <v>0</v>
      </c>
      <c r="D58" s="24"/>
      <c r="E58" s="24"/>
      <c r="F58" s="30"/>
      <c r="G58" s="30"/>
      <c r="H58" s="31"/>
      <c r="I58" s="31"/>
      <c r="J58" s="31"/>
      <c r="K58" s="31"/>
      <c r="L58" s="24">
        <f t="shared" si="23"/>
        <v>0</v>
      </c>
      <c r="M58" s="24"/>
      <c r="N58" s="24"/>
      <c r="O58" s="30"/>
      <c r="P58" s="30"/>
    </row>
    <row r="59" spans="1:16" s="1" customFormat="1">
      <c r="A59" s="28"/>
      <c r="B59" s="39" t="s">
        <v>43</v>
      </c>
      <c r="C59" s="24">
        <f t="shared" si="22"/>
        <v>0</v>
      </c>
      <c r="D59" s="24"/>
      <c r="E59" s="24"/>
      <c r="F59" s="30"/>
      <c r="G59" s="30"/>
      <c r="H59" s="31"/>
      <c r="I59" s="31"/>
      <c r="J59" s="31"/>
      <c r="K59" s="31"/>
      <c r="L59" s="24">
        <f t="shared" si="23"/>
        <v>0</v>
      </c>
      <c r="M59" s="24"/>
      <c r="N59" s="24"/>
      <c r="O59" s="30"/>
      <c r="P59" s="30"/>
    </row>
    <row r="60" spans="1:16" s="1" customFormat="1">
      <c r="A60" s="28"/>
      <c r="B60" s="39" t="s">
        <v>44</v>
      </c>
      <c r="C60" s="24">
        <f t="shared" si="22"/>
        <v>1238375.52</v>
      </c>
      <c r="D60" s="24"/>
      <c r="E60" s="24">
        <v>313731.84000000003</v>
      </c>
      <c r="F60" s="30">
        <f>69824.94+214269.5+193218.05+60370+45300+139680.6+137325+35584.88+29070.71</f>
        <v>924643.67999999993</v>
      </c>
      <c r="G60" s="30"/>
      <c r="H60" s="31"/>
      <c r="I60" s="31"/>
      <c r="J60" s="31"/>
      <c r="K60" s="31"/>
      <c r="L60" s="24">
        <f t="shared" si="23"/>
        <v>0</v>
      </c>
      <c r="M60" s="24"/>
      <c r="N60" s="24"/>
      <c r="O60" s="30"/>
      <c r="P60" s="30"/>
    </row>
    <row r="61" spans="1:16" s="1" customFormat="1">
      <c r="A61" s="28"/>
      <c r="B61" s="39" t="s">
        <v>45</v>
      </c>
      <c r="C61" s="24">
        <f t="shared" si="22"/>
        <v>0</v>
      </c>
      <c r="D61" s="24">
        <v>23518.06</v>
      </c>
      <c r="E61" s="24"/>
      <c r="F61" s="30"/>
      <c r="G61" s="30"/>
      <c r="H61" s="31"/>
      <c r="I61" s="31"/>
      <c r="J61" s="31"/>
      <c r="K61" s="31"/>
      <c r="L61" s="24">
        <f t="shared" si="23"/>
        <v>0</v>
      </c>
      <c r="M61" s="24">
        <v>23518.06</v>
      </c>
      <c r="N61" s="24"/>
      <c r="O61" s="30"/>
      <c r="P61" s="30"/>
    </row>
    <row r="62" spans="1:16" s="1" customFormat="1" ht="30">
      <c r="A62" s="28"/>
      <c r="B62" s="39" t="s">
        <v>46</v>
      </c>
      <c r="C62" s="24">
        <f t="shared" si="22"/>
        <v>0</v>
      </c>
      <c r="D62" s="24"/>
      <c r="E62" s="24"/>
      <c r="F62" s="30"/>
      <c r="G62" s="30"/>
      <c r="H62" s="31"/>
      <c r="I62" s="31"/>
      <c r="J62" s="31"/>
      <c r="K62" s="31"/>
      <c r="L62" s="24">
        <f t="shared" si="23"/>
        <v>0</v>
      </c>
      <c r="M62" s="24"/>
      <c r="N62" s="24"/>
      <c r="O62" s="30"/>
      <c r="P62" s="30"/>
    </row>
    <row r="63" spans="1:16" s="1" customFormat="1">
      <c r="A63" s="28"/>
      <c r="B63" s="39" t="s">
        <v>47</v>
      </c>
      <c r="C63" s="24">
        <f t="shared" si="22"/>
        <v>0</v>
      </c>
      <c r="D63" s="30">
        <f>2580+5606</f>
        <v>8186</v>
      </c>
      <c r="E63" s="30"/>
      <c r="F63" s="30"/>
      <c r="G63" s="30"/>
      <c r="H63" s="31"/>
      <c r="I63" s="31"/>
      <c r="J63" s="31"/>
      <c r="K63" s="31"/>
      <c r="L63" s="24">
        <f t="shared" si="23"/>
        <v>0</v>
      </c>
      <c r="M63" s="30">
        <f>2580+5606</f>
        <v>8186</v>
      </c>
      <c r="N63" s="30"/>
      <c r="O63" s="30"/>
      <c r="P63" s="30"/>
    </row>
    <row r="64" spans="1:16" s="1" customFormat="1" ht="36.75" customHeight="1">
      <c r="A64" s="211" t="s">
        <v>3</v>
      </c>
      <c r="B64" s="213" t="s">
        <v>4</v>
      </c>
      <c r="C64" s="213" t="s">
        <v>5</v>
      </c>
      <c r="D64" s="10" t="s">
        <v>6</v>
      </c>
      <c r="E64" s="215" t="s">
        <v>7</v>
      </c>
      <c r="F64" s="216"/>
      <c r="G64" s="217"/>
      <c r="H64" s="218" t="s">
        <v>8</v>
      </c>
      <c r="I64" s="218"/>
      <c r="J64" s="218"/>
      <c r="K64" s="11"/>
      <c r="L64" s="219" t="s">
        <v>9</v>
      </c>
      <c r="M64" s="12" t="s">
        <v>6</v>
      </c>
      <c r="N64" s="208" t="s">
        <v>10</v>
      </c>
      <c r="O64" s="209"/>
      <c r="P64" s="210"/>
    </row>
    <row r="65" spans="1:16" s="1" customFormat="1" ht="47.25" customHeight="1">
      <c r="A65" s="212"/>
      <c r="B65" s="214"/>
      <c r="C65" s="214"/>
      <c r="D65" s="13" t="s">
        <v>11</v>
      </c>
      <c r="E65" s="13" t="s">
        <v>12</v>
      </c>
      <c r="F65" s="13" t="s">
        <v>13</v>
      </c>
      <c r="G65" s="13" t="s">
        <v>14</v>
      </c>
      <c r="H65" s="14" t="s">
        <v>15</v>
      </c>
      <c r="I65" s="14" t="s">
        <v>16</v>
      </c>
      <c r="J65" s="14" t="s">
        <v>17</v>
      </c>
      <c r="K65" s="14" t="s">
        <v>18</v>
      </c>
      <c r="L65" s="220"/>
      <c r="M65" s="15" t="s">
        <v>11</v>
      </c>
      <c r="N65" s="15" t="s">
        <v>12</v>
      </c>
      <c r="O65" s="15" t="s">
        <v>13</v>
      </c>
      <c r="P65" s="15" t="s">
        <v>14</v>
      </c>
    </row>
    <row r="66" spans="1:16" s="1" customFormat="1">
      <c r="A66" s="45">
        <v>3</v>
      </c>
      <c r="B66" s="17" t="s">
        <v>49</v>
      </c>
      <c r="C66" s="46">
        <f t="shared" ref="C66:G66" si="24">C67+C68+C69+C70+C71+C72+C73+C74+C79+C80+C81+C82+C83+C84+C85+C86</f>
        <v>820567.46</v>
      </c>
      <c r="D66" s="46">
        <f t="shared" si="24"/>
        <v>2266751.92</v>
      </c>
      <c r="E66" s="46">
        <f t="shared" si="24"/>
        <v>157793.08000000002</v>
      </c>
      <c r="F66" s="46">
        <f t="shared" si="24"/>
        <v>550512.07999999996</v>
      </c>
      <c r="G66" s="46">
        <f t="shared" si="24"/>
        <v>112262.3</v>
      </c>
      <c r="H66" s="19"/>
      <c r="I66" s="20"/>
      <c r="J66" s="20"/>
      <c r="K66" s="11"/>
      <c r="L66" s="46">
        <f t="shared" ref="L66:P66" si="25">L67+L68+L69+L70+L71+L72+L73+L74+L79+L80+L81+L82+L83+L84+L85+L86</f>
        <v>0</v>
      </c>
      <c r="M66" s="46">
        <f t="shared" si="25"/>
        <v>2266751.92</v>
      </c>
      <c r="N66" s="46">
        <f t="shared" si="25"/>
        <v>0</v>
      </c>
      <c r="O66" s="46">
        <f t="shared" si="25"/>
        <v>0</v>
      </c>
      <c r="P66" s="46">
        <f t="shared" si="25"/>
        <v>0</v>
      </c>
    </row>
    <row r="67" spans="1:16" s="5" customFormat="1">
      <c r="A67" s="22"/>
      <c r="B67" s="23" t="s">
        <v>20</v>
      </c>
      <c r="C67" s="24">
        <f t="shared" ref="C67:C73" si="26">E67+F67+G67</f>
        <v>405267.37</v>
      </c>
      <c r="D67" s="25"/>
      <c r="E67" s="25"/>
      <c r="F67" s="24">
        <v>293005.07</v>
      </c>
      <c r="G67" s="25">
        <v>112262.3</v>
      </c>
      <c r="H67" s="26"/>
      <c r="I67" s="24"/>
      <c r="J67" s="24"/>
      <c r="K67" s="27"/>
      <c r="L67" s="24">
        <f t="shared" ref="L67:L73" si="27">N67+O67+P67</f>
        <v>0</v>
      </c>
      <c r="M67" s="25"/>
      <c r="N67" s="25"/>
      <c r="O67" s="24"/>
      <c r="P67" s="25"/>
    </row>
    <row r="68" spans="1:16" s="1" customFormat="1">
      <c r="A68" s="28"/>
      <c r="B68" s="29" t="s">
        <v>21</v>
      </c>
      <c r="C68" s="24">
        <f t="shared" si="26"/>
        <v>0</v>
      </c>
      <c r="D68" s="30"/>
      <c r="E68" s="30"/>
      <c r="F68" s="30"/>
      <c r="G68" s="30"/>
      <c r="H68" s="31"/>
      <c r="I68" s="31"/>
      <c r="J68" s="31"/>
      <c r="K68" s="31"/>
      <c r="L68" s="24">
        <f t="shared" si="27"/>
        <v>0</v>
      </c>
      <c r="M68" s="30"/>
      <c r="N68" s="30"/>
      <c r="O68" s="30"/>
      <c r="P68" s="30"/>
    </row>
    <row r="69" spans="1:16" s="1" customFormat="1">
      <c r="A69" s="28"/>
      <c r="B69" s="32" t="s">
        <v>22</v>
      </c>
      <c r="C69" s="24">
        <f t="shared" si="26"/>
        <v>0</v>
      </c>
      <c r="D69" s="30"/>
      <c r="E69" s="30"/>
      <c r="F69" s="30"/>
      <c r="G69" s="30"/>
      <c r="H69" s="31"/>
      <c r="I69" s="31"/>
      <c r="J69" s="31"/>
      <c r="K69" s="31"/>
      <c r="L69" s="24">
        <f t="shared" si="27"/>
        <v>0</v>
      </c>
      <c r="M69" s="30"/>
      <c r="N69" s="30"/>
      <c r="O69" s="30"/>
      <c r="P69" s="30"/>
    </row>
    <row r="70" spans="1:16" s="1" customFormat="1">
      <c r="A70" s="28"/>
      <c r="B70" s="32" t="s">
        <v>23</v>
      </c>
      <c r="C70" s="24">
        <f t="shared" si="26"/>
        <v>32994</v>
      </c>
      <c r="D70" s="30"/>
      <c r="E70" s="30">
        <v>32994</v>
      </c>
      <c r="F70" s="30"/>
      <c r="G70" s="30"/>
      <c r="H70" s="31"/>
      <c r="I70" s="31"/>
      <c r="J70" s="31"/>
      <c r="K70" s="31"/>
      <c r="L70" s="24">
        <f t="shared" si="27"/>
        <v>0</v>
      </c>
      <c r="M70" s="30"/>
      <c r="N70" s="30"/>
      <c r="O70" s="30"/>
      <c r="P70" s="30"/>
    </row>
    <row r="71" spans="1:16" s="1" customFormat="1">
      <c r="A71" s="28"/>
      <c r="B71" s="29" t="s">
        <v>24</v>
      </c>
      <c r="C71" s="24">
        <f t="shared" si="26"/>
        <v>0</v>
      </c>
      <c r="D71" s="30"/>
      <c r="E71" s="30"/>
      <c r="F71" s="30"/>
      <c r="G71" s="30"/>
      <c r="H71" s="31"/>
      <c r="I71" s="31"/>
      <c r="J71" s="31"/>
      <c r="K71" s="31"/>
      <c r="L71" s="24">
        <f t="shared" si="27"/>
        <v>0</v>
      </c>
      <c r="M71" s="30"/>
      <c r="N71" s="30"/>
      <c r="O71" s="30"/>
      <c r="P71" s="30"/>
    </row>
    <row r="72" spans="1:16" s="1" customFormat="1">
      <c r="A72" s="28"/>
      <c r="B72" s="34" t="s">
        <v>25</v>
      </c>
      <c r="C72" s="24">
        <f t="shared" si="26"/>
        <v>16120.56</v>
      </c>
      <c r="D72" s="30">
        <v>15221.33</v>
      </c>
      <c r="E72" s="30">
        <v>16120.56</v>
      </c>
      <c r="F72" s="30"/>
      <c r="G72" s="30"/>
      <c r="H72" s="31"/>
      <c r="I72" s="31"/>
      <c r="J72" s="31"/>
      <c r="K72" s="31"/>
      <c r="L72" s="24">
        <f t="shared" si="27"/>
        <v>0</v>
      </c>
      <c r="M72" s="30">
        <v>15221.33</v>
      </c>
      <c r="N72" s="30"/>
      <c r="O72" s="30"/>
      <c r="P72" s="30"/>
    </row>
    <row r="73" spans="1:16" s="1" customFormat="1">
      <c r="A73" s="28"/>
      <c r="B73" s="32" t="s">
        <v>26</v>
      </c>
      <c r="C73" s="24">
        <f t="shared" si="26"/>
        <v>0</v>
      </c>
      <c r="D73" s="30"/>
      <c r="E73" s="30"/>
      <c r="F73" s="30"/>
      <c r="G73" s="30"/>
      <c r="H73" s="31"/>
      <c r="I73" s="31"/>
      <c r="J73" s="31"/>
      <c r="K73" s="31"/>
      <c r="L73" s="24">
        <f t="shared" si="27"/>
        <v>0</v>
      </c>
      <c r="M73" s="30"/>
      <c r="N73" s="30"/>
      <c r="O73" s="30"/>
      <c r="P73" s="30"/>
    </row>
    <row r="74" spans="1:16" s="1" customFormat="1" ht="30">
      <c r="A74" s="28"/>
      <c r="B74" s="35" t="s">
        <v>27</v>
      </c>
      <c r="C74" s="36">
        <f t="shared" ref="C74:G74" si="28">SUM(C75:C78)</f>
        <v>47124.5</v>
      </c>
      <c r="D74" s="36">
        <f t="shared" si="28"/>
        <v>269689.59000000003</v>
      </c>
      <c r="E74" s="36">
        <f t="shared" si="28"/>
        <v>47124.5</v>
      </c>
      <c r="F74" s="36">
        <f t="shared" si="28"/>
        <v>0</v>
      </c>
      <c r="G74" s="36">
        <f t="shared" si="28"/>
        <v>0</v>
      </c>
      <c r="H74" s="31"/>
      <c r="I74" s="31"/>
      <c r="J74" s="31"/>
      <c r="K74" s="31"/>
      <c r="L74" s="36">
        <f t="shared" ref="L74:P74" si="29">SUM(L75:L78)</f>
        <v>0</v>
      </c>
      <c r="M74" s="36">
        <f t="shared" si="29"/>
        <v>269689.59000000003</v>
      </c>
      <c r="N74" s="36">
        <f t="shared" si="29"/>
        <v>0</v>
      </c>
      <c r="O74" s="36">
        <f t="shared" si="29"/>
        <v>0</v>
      </c>
      <c r="P74" s="36">
        <f t="shared" si="29"/>
        <v>0</v>
      </c>
    </row>
    <row r="75" spans="1:16" s="1" customFormat="1">
      <c r="A75" s="28"/>
      <c r="B75" s="38" t="s">
        <v>28</v>
      </c>
      <c r="C75" s="24">
        <f t="shared" ref="C75:C85" si="30">E75+F75+G75</f>
        <v>0</v>
      </c>
      <c r="D75" s="30">
        <v>241195.72</v>
      </c>
      <c r="E75" s="30"/>
      <c r="F75" s="30"/>
      <c r="G75" s="30"/>
      <c r="H75" s="31"/>
      <c r="I75" s="31"/>
      <c r="J75" s="31"/>
      <c r="K75" s="31"/>
      <c r="L75" s="24">
        <f t="shared" ref="L75:L85" si="31">N75+O75+P75</f>
        <v>0</v>
      </c>
      <c r="M75" s="30">
        <v>241195.72</v>
      </c>
      <c r="N75" s="30"/>
      <c r="O75" s="30"/>
      <c r="P75" s="30"/>
    </row>
    <row r="76" spans="1:16" s="1" customFormat="1">
      <c r="A76" s="28"/>
      <c r="B76" s="38" t="s">
        <v>29</v>
      </c>
      <c r="C76" s="24">
        <f t="shared" si="30"/>
        <v>967.31</v>
      </c>
      <c r="D76" s="30"/>
      <c r="E76" s="30">
        <v>967.31</v>
      </c>
      <c r="F76" s="30"/>
      <c r="G76" s="30"/>
      <c r="H76" s="31"/>
      <c r="I76" s="31"/>
      <c r="J76" s="31"/>
      <c r="K76" s="31"/>
      <c r="L76" s="24">
        <f t="shared" si="31"/>
        <v>0</v>
      </c>
      <c r="M76" s="30"/>
      <c r="N76" s="30"/>
      <c r="O76" s="30"/>
      <c r="P76" s="30"/>
    </row>
    <row r="77" spans="1:16" s="1" customFormat="1">
      <c r="A77" s="28"/>
      <c r="B77" s="38" t="s">
        <v>30</v>
      </c>
      <c r="C77" s="24">
        <f t="shared" si="30"/>
        <v>46157.19</v>
      </c>
      <c r="D77" s="30">
        <f>26865.07+1628.8</f>
        <v>28493.87</v>
      </c>
      <c r="E77" s="30">
        <f>46157.19</f>
        <v>46157.19</v>
      </c>
      <c r="F77" s="30"/>
      <c r="G77" s="30"/>
      <c r="H77" s="31"/>
      <c r="I77" s="31"/>
      <c r="J77" s="31"/>
      <c r="K77" s="31"/>
      <c r="L77" s="24">
        <f t="shared" si="31"/>
        <v>0</v>
      </c>
      <c r="M77" s="30">
        <f>26865.07+1628.8</f>
        <v>28493.87</v>
      </c>
      <c r="N77" s="30"/>
      <c r="O77" s="30"/>
      <c r="P77" s="30"/>
    </row>
    <row r="78" spans="1:16" s="1" customFormat="1">
      <c r="A78" s="28"/>
      <c r="B78" s="38" t="s">
        <v>31</v>
      </c>
      <c r="C78" s="24">
        <f t="shared" si="30"/>
        <v>0</v>
      </c>
      <c r="D78" s="30"/>
      <c r="E78" s="30"/>
      <c r="F78" s="30"/>
      <c r="G78" s="30"/>
      <c r="H78" s="31"/>
      <c r="I78" s="31"/>
      <c r="J78" s="31"/>
      <c r="K78" s="31"/>
      <c r="L78" s="24">
        <f t="shared" si="31"/>
        <v>0</v>
      </c>
      <c r="M78" s="30"/>
      <c r="N78" s="30"/>
      <c r="O78" s="30"/>
      <c r="P78" s="30"/>
    </row>
    <row r="79" spans="1:16" s="1" customFormat="1" ht="30">
      <c r="A79" s="28"/>
      <c r="B79" s="39" t="s">
        <v>32</v>
      </c>
      <c r="C79" s="24">
        <f t="shared" si="30"/>
        <v>0</v>
      </c>
      <c r="D79" s="30"/>
      <c r="E79" s="30"/>
      <c r="F79" s="30"/>
      <c r="G79" s="30"/>
      <c r="H79" s="31"/>
      <c r="I79" s="31"/>
      <c r="J79" s="31"/>
      <c r="K79" s="31"/>
      <c r="L79" s="24">
        <f t="shared" si="31"/>
        <v>0</v>
      </c>
      <c r="M79" s="30"/>
      <c r="N79" s="30"/>
      <c r="O79" s="30"/>
      <c r="P79" s="30"/>
    </row>
    <row r="80" spans="1:16" s="1" customFormat="1" ht="30">
      <c r="A80" s="28"/>
      <c r="B80" s="39" t="s">
        <v>33</v>
      </c>
      <c r="C80" s="24">
        <f t="shared" si="30"/>
        <v>33807.300000000003</v>
      </c>
      <c r="D80" s="30">
        <f>51225.23</f>
        <v>51225.23</v>
      </c>
      <c r="E80" s="30">
        <v>33807.300000000003</v>
      </c>
      <c r="F80" s="30"/>
      <c r="G80" s="30"/>
      <c r="H80" s="31"/>
      <c r="I80" s="31"/>
      <c r="J80" s="31"/>
      <c r="K80" s="31"/>
      <c r="L80" s="24">
        <f t="shared" si="31"/>
        <v>0</v>
      </c>
      <c r="M80" s="30">
        <f>51225.23</f>
        <v>51225.23</v>
      </c>
      <c r="N80" s="30"/>
      <c r="O80" s="30"/>
      <c r="P80" s="30"/>
    </row>
    <row r="81" spans="1:16" s="1" customFormat="1" ht="30">
      <c r="A81" s="28"/>
      <c r="B81" s="40" t="s">
        <v>34</v>
      </c>
      <c r="C81" s="24">
        <f t="shared" si="30"/>
        <v>0</v>
      </c>
      <c r="D81" s="30">
        <v>10500</v>
      </c>
      <c r="E81" s="30"/>
      <c r="F81" s="30"/>
      <c r="G81" s="30"/>
      <c r="H81" s="31"/>
      <c r="I81" s="31"/>
      <c r="J81" s="31"/>
      <c r="K81" s="31"/>
      <c r="L81" s="24">
        <f t="shared" si="31"/>
        <v>0</v>
      </c>
      <c r="M81" s="30">
        <v>10500</v>
      </c>
      <c r="N81" s="30"/>
      <c r="O81" s="30"/>
      <c r="P81" s="30"/>
    </row>
    <row r="82" spans="1:16" s="1" customFormat="1">
      <c r="A82" s="28"/>
      <c r="B82" s="40" t="s">
        <v>35</v>
      </c>
      <c r="C82" s="24">
        <f t="shared" si="30"/>
        <v>18419.849999999999</v>
      </c>
      <c r="D82" s="30">
        <f>15706.43</f>
        <v>15706.43</v>
      </c>
      <c r="E82" s="30"/>
      <c r="F82" s="30">
        <v>18419.849999999999</v>
      </c>
      <c r="G82" s="30"/>
      <c r="H82" s="31"/>
      <c r="I82" s="31"/>
      <c r="J82" s="31"/>
      <c r="K82" s="31"/>
      <c r="L82" s="24">
        <f t="shared" si="31"/>
        <v>0</v>
      </c>
      <c r="M82" s="30">
        <f>15706.43</f>
        <v>15706.43</v>
      </c>
      <c r="N82" s="30"/>
      <c r="O82" s="30"/>
      <c r="P82" s="30"/>
    </row>
    <row r="83" spans="1:16" s="1" customFormat="1" ht="30">
      <c r="A83" s="28"/>
      <c r="B83" s="41" t="s">
        <v>36</v>
      </c>
      <c r="C83" s="24">
        <f t="shared" si="30"/>
        <v>0</v>
      </c>
      <c r="D83" s="30"/>
      <c r="E83" s="30"/>
      <c r="F83" s="30"/>
      <c r="G83" s="30"/>
      <c r="H83" s="31"/>
      <c r="I83" s="31"/>
      <c r="J83" s="31"/>
      <c r="K83" s="31"/>
      <c r="L83" s="24">
        <f t="shared" si="31"/>
        <v>0</v>
      </c>
      <c r="M83" s="30"/>
      <c r="N83" s="30"/>
      <c r="O83" s="30"/>
      <c r="P83" s="30"/>
    </row>
    <row r="84" spans="1:16" s="1" customFormat="1">
      <c r="A84" s="28"/>
      <c r="B84" s="42" t="s">
        <v>37</v>
      </c>
      <c r="C84" s="24">
        <f t="shared" si="30"/>
        <v>0</v>
      </c>
      <c r="D84" s="30"/>
      <c r="E84" s="30"/>
      <c r="F84" s="30"/>
      <c r="G84" s="30"/>
      <c r="H84" s="31"/>
      <c r="I84" s="31"/>
      <c r="J84" s="31"/>
      <c r="K84" s="31"/>
      <c r="L84" s="24">
        <f t="shared" si="31"/>
        <v>0</v>
      </c>
      <c r="M84" s="30"/>
      <c r="N84" s="30"/>
      <c r="O84" s="30"/>
      <c r="P84" s="30"/>
    </row>
    <row r="85" spans="1:16" s="1" customFormat="1" ht="30">
      <c r="A85" s="28"/>
      <c r="B85" s="42" t="s">
        <v>38</v>
      </c>
      <c r="C85" s="24">
        <f t="shared" si="30"/>
        <v>0</v>
      </c>
      <c r="D85" s="30">
        <f>203841.7+315100+391893+372365+200000</f>
        <v>1483199.7</v>
      </c>
      <c r="E85" s="30"/>
      <c r="F85" s="30"/>
      <c r="G85" s="30"/>
      <c r="H85" s="31"/>
      <c r="I85" s="31"/>
      <c r="J85" s="31"/>
      <c r="K85" s="31"/>
      <c r="L85" s="24">
        <f t="shared" si="31"/>
        <v>0</v>
      </c>
      <c r="M85" s="30">
        <f>203841.7+315100+391893+372365+200000</f>
        <v>1483199.7</v>
      </c>
      <c r="N85" s="30"/>
      <c r="O85" s="30"/>
      <c r="P85" s="30"/>
    </row>
    <row r="86" spans="1:16" s="1" customFormat="1" ht="30">
      <c r="A86" s="28"/>
      <c r="B86" s="43" t="s">
        <v>39</v>
      </c>
      <c r="C86" s="36">
        <f t="shared" ref="C86:G86" si="32">SUM(C87:C93)</f>
        <v>266833.88</v>
      </c>
      <c r="D86" s="36">
        <f t="shared" si="32"/>
        <v>421209.64</v>
      </c>
      <c r="E86" s="36">
        <f t="shared" si="32"/>
        <v>27746.720000000001</v>
      </c>
      <c r="F86" s="36">
        <f t="shared" si="32"/>
        <v>239087.16</v>
      </c>
      <c r="G86" s="36">
        <f t="shared" si="32"/>
        <v>0</v>
      </c>
      <c r="H86" s="31"/>
      <c r="I86" s="31"/>
      <c r="J86" s="31"/>
      <c r="K86" s="31"/>
      <c r="L86" s="36">
        <f t="shared" ref="L86:P86" si="33">SUM(L87:L93)</f>
        <v>0</v>
      </c>
      <c r="M86" s="36">
        <f t="shared" si="33"/>
        <v>421209.64</v>
      </c>
      <c r="N86" s="36">
        <f t="shared" si="33"/>
        <v>0</v>
      </c>
      <c r="O86" s="36">
        <f t="shared" si="33"/>
        <v>0</v>
      </c>
      <c r="P86" s="36">
        <f t="shared" si="33"/>
        <v>0</v>
      </c>
    </row>
    <row r="87" spans="1:16" s="1" customFormat="1" ht="30">
      <c r="A87" s="28" t="s">
        <v>40</v>
      </c>
      <c r="B87" s="39" t="s">
        <v>41</v>
      </c>
      <c r="C87" s="24">
        <f>E87+F87+G87</f>
        <v>0</v>
      </c>
      <c r="D87" s="30"/>
      <c r="E87" s="30"/>
      <c r="F87" s="30"/>
      <c r="G87" s="30"/>
      <c r="H87" s="31"/>
      <c r="I87" s="31"/>
      <c r="J87" s="31"/>
      <c r="K87" s="31"/>
      <c r="L87" s="24">
        <f>N87+O87+P87</f>
        <v>0</v>
      </c>
      <c r="M87" s="30"/>
      <c r="N87" s="30"/>
      <c r="O87" s="30"/>
      <c r="P87" s="30"/>
    </row>
    <row r="88" spans="1:16" s="1" customFormat="1">
      <c r="A88" s="28"/>
      <c r="B88" s="39" t="s">
        <v>42</v>
      </c>
      <c r="C88" s="24">
        <f>E88+F88+G88</f>
        <v>0</v>
      </c>
      <c r="D88" s="30"/>
      <c r="E88" s="30"/>
      <c r="F88" s="30"/>
      <c r="G88" s="30"/>
      <c r="H88" s="31"/>
      <c r="I88" s="31"/>
      <c r="J88" s="31"/>
      <c r="K88" s="31"/>
      <c r="L88" s="24">
        <f>N88+O88+P88</f>
        <v>0</v>
      </c>
      <c r="M88" s="30"/>
      <c r="N88" s="30"/>
      <c r="O88" s="30"/>
      <c r="P88" s="30"/>
    </row>
    <row r="89" spans="1:16" s="1" customFormat="1">
      <c r="A89" s="28"/>
      <c r="B89" s="39" t="s">
        <v>43</v>
      </c>
      <c r="C89" s="24">
        <f>E89+F89+G89</f>
        <v>0</v>
      </c>
      <c r="D89" s="30"/>
      <c r="E89" s="30"/>
      <c r="F89" s="30"/>
      <c r="G89" s="30"/>
      <c r="H89" s="31"/>
      <c r="I89" s="31"/>
      <c r="J89" s="31"/>
      <c r="K89" s="31"/>
      <c r="L89" s="24">
        <f>N89+O89+P89</f>
        <v>0</v>
      </c>
      <c r="M89" s="30"/>
      <c r="N89" s="30"/>
      <c r="O89" s="30"/>
      <c r="P89" s="30"/>
    </row>
    <row r="90" spans="1:16" s="1" customFormat="1">
      <c r="A90" s="28"/>
      <c r="B90" s="39" t="s">
        <v>44</v>
      </c>
      <c r="C90" s="24"/>
      <c r="D90" s="30"/>
      <c r="E90" s="30"/>
      <c r="F90" s="30"/>
      <c r="G90" s="30"/>
      <c r="H90" s="31"/>
      <c r="I90" s="31"/>
      <c r="J90" s="31"/>
      <c r="K90" s="31"/>
      <c r="L90" s="24"/>
      <c r="M90" s="30"/>
      <c r="N90" s="30"/>
      <c r="O90" s="30"/>
      <c r="P90" s="30"/>
    </row>
    <row r="91" spans="1:16" s="1" customFormat="1">
      <c r="A91" s="28"/>
      <c r="B91" s="39" t="s">
        <v>45</v>
      </c>
      <c r="C91" s="24">
        <f>E91+F91+G91</f>
        <v>0</v>
      </c>
      <c r="D91" s="30"/>
      <c r="E91" s="30"/>
      <c r="F91" s="30"/>
      <c r="G91" s="30"/>
      <c r="H91" s="31"/>
      <c r="I91" s="31"/>
      <c r="J91" s="31"/>
      <c r="K91" s="31"/>
      <c r="L91" s="24">
        <f>N91+O91+P91</f>
        <v>0</v>
      </c>
      <c r="M91" s="30"/>
      <c r="N91" s="30"/>
      <c r="O91" s="30"/>
      <c r="P91" s="30"/>
    </row>
    <row r="92" spans="1:16" s="1" customFormat="1" ht="30">
      <c r="A92" s="28"/>
      <c r="B92" s="39" t="s">
        <v>46</v>
      </c>
      <c r="C92" s="24">
        <f>E92+F92+G92</f>
        <v>0</v>
      </c>
      <c r="D92" s="30"/>
      <c r="E92" s="30"/>
      <c r="F92" s="30"/>
      <c r="G92" s="30"/>
      <c r="H92" s="31"/>
      <c r="I92" s="31"/>
      <c r="J92" s="31"/>
      <c r="K92" s="31"/>
      <c r="L92" s="24">
        <f>N92+O92+P92</f>
        <v>0</v>
      </c>
      <c r="M92" s="30"/>
      <c r="N92" s="30"/>
      <c r="O92" s="30"/>
      <c r="P92" s="30"/>
    </row>
    <row r="93" spans="1:16" s="1" customFormat="1">
      <c r="A93" s="28"/>
      <c r="B93" s="39" t="s">
        <v>47</v>
      </c>
      <c r="C93" s="24">
        <f>E93+F93+G93</f>
        <v>266833.88</v>
      </c>
      <c r="D93" s="30">
        <f>98012+88560+184637.64+50000</f>
        <v>421209.64</v>
      </c>
      <c r="E93" s="30">
        <v>27746.720000000001</v>
      </c>
      <c r="F93" s="30">
        <v>239087.16</v>
      </c>
      <c r="G93" s="30"/>
      <c r="H93" s="31"/>
      <c r="I93" s="31"/>
      <c r="J93" s="31"/>
      <c r="K93" s="31"/>
      <c r="L93" s="24">
        <f>N93+O93+P93</f>
        <v>0</v>
      </c>
      <c r="M93" s="30">
        <f>98012+88560+184637.64+50000</f>
        <v>421209.64</v>
      </c>
      <c r="N93" s="30"/>
      <c r="O93" s="30"/>
      <c r="P93" s="30"/>
    </row>
    <row r="94" spans="1:16" s="1" customFormat="1" ht="36.75" customHeight="1">
      <c r="A94" s="211" t="s">
        <v>3</v>
      </c>
      <c r="B94" s="213" t="s">
        <v>4</v>
      </c>
      <c r="C94" s="213" t="s">
        <v>5</v>
      </c>
      <c r="D94" s="10" t="s">
        <v>6</v>
      </c>
      <c r="E94" s="215" t="s">
        <v>7</v>
      </c>
      <c r="F94" s="216"/>
      <c r="G94" s="217"/>
      <c r="H94" s="218" t="s">
        <v>8</v>
      </c>
      <c r="I94" s="218"/>
      <c r="J94" s="218"/>
      <c r="K94" s="11"/>
      <c r="L94" s="219" t="s">
        <v>9</v>
      </c>
      <c r="M94" s="12" t="s">
        <v>6</v>
      </c>
      <c r="N94" s="208" t="s">
        <v>10</v>
      </c>
      <c r="O94" s="209"/>
      <c r="P94" s="210"/>
    </row>
    <row r="95" spans="1:16" s="1" customFormat="1" ht="47.25" customHeight="1">
      <c r="A95" s="212"/>
      <c r="B95" s="214"/>
      <c r="C95" s="214"/>
      <c r="D95" s="13" t="s">
        <v>11</v>
      </c>
      <c r="E95" s="13" t="s">
        <v>12</v>
      </c>
      <c r="F95" s="13" t="s">
        <v>13</v>
      </c>
      <c r="G95" s="13" t="s">
        <v>14</v>
      </c>
      <c r="H95" s="14" t="s">
        <v>15</v>
      </c>
      <c r="I95" s="14" t="s">
        <v>16</v>
      </c>
      <c r="J95" s="14" t="s">
        <v>17</v>
      </c>
      <c r="K95" s="14" t="s">
        <v>18</v>
      </c>
      <c r="L95" s="220"/>
      <c r="M95" s="15" t="s">
        <v>11</v>
      </c>
      <c r="N95" s="15" t="s">
        <v>12</v>
      </c>
      <c r="O95" s="15" t="s">
        <v>13</v>
      </c>
      <c r="P95" s="15" t="s">
        <v>14</v>
      </c>
    </row>
    <row r="96" spans="1:16" s="1" customFormat="1">
      <c r="A96" s="16">
        <v>4</v>
      </c>
      <c r="B96" s="17" t="s">
        <v>50</v>
      </c>
      <c r="C96" s="18">
        <f t="shared" ref="C96:G96" si="34">C97+C98+C99+C100+C101+C102+C103+C104+C109+C110+C111+C112+C113+C114+C115+C116</f>
        <v>1137995.24</v>
      </c>
      <c r="D96" s="18">
        <f t="shared" si="34"/>
        <v>1085569.6400000001</v>
      </c>
      <c r="E96" s="18">
        <f t="shared" si="34"/>
        <v>160186.97</v>
      </c>
      <c r="F96" s="18">
        <f t="shared" si="34"/>
        <v>691304.31</v>
      </c>
      <c r="G96" s="18">
        <f t="shared" si="34"/>
        <v>286503.96000000002</v>
      </c>
      <c r="H96" s="19"/>
      <c r="I96" s="20"/>
      <c r="J96" s="20"/>
      <c r="K96" s="11"/>
      <c r="L96" s="18">
        <f t="shared" ref="L96:P96" si="35">L97+L98+L99+L100+L101+L102+L103+L104+L109+L110+L111+L112+L113+L114+L115+L116</f>
        <v>0</v>
      </c>
      <c r="M96" s="18">
        <f t="shared" si="35"/>
        <v>1085569.6400000001</v>
      </c>
      <c r="N96" s="18">
        <f t="shared" si="35"/>
        <v>0</v>
      </c>
      <c r="O96" s="18">
        <f t="shared" si="35"/>
        <v>0</v>
      </c>
      <c r="P96" s="18">
        <f t="shared" si="35"/>
        <v>0</v>
      </c>
    </row>
    <row r="97" spans="1:16" s="1" customFormat="1">
      <c r="A97" s="22"/>
      <c r="B97" s="23" t="s">
        <v>20</v>
      </c>
      <c r="C97" s="24">
        <f t="shared" ref="C97:C103" si="36">E97+F97+G97</f>
        <v>977808.27</v>
      </c>
      <c r="D97" s="25"/>
      <c r="E97" s="25"/>
      <c r="F97" s="25">
        <v>691304.31</v>
      </c>
      <c r="G97" s="25">
        <v>286503.96000000002</v>
      </c>
      <c r="H97" s="26"/>
      <c r="I97" s="24"/>
      <c r="J97" s="24"/>
      <c r="K97" s="27"/>
      <c r="L97" s="24">
        <f t="shared" ref="L97:L103" si="37">N97+O97+P97</f>
        <v>0</v>
      </c>
      <c r="M97" s="25"/>
      <c r="N97" s="25"/>
      <c r="O97" s="25"/>
      <c r="P97" s="25"/>
    </row>
    <row r="98" spans="1:16" s="1" customFormat="1">
      <c r="A98" s="28"/>
      <c r="B98" s="29" t="s">
        <v>21</v>
      </c>
      <c r="C98" s="24">
        <f t="shared" si="36"/>
        <v>9988.52</v>
      </c>
      <c r="D98" s="30"/>
      <c r="E98" s="30">
        <v>9988.52</v>
      </c>
      <c r="F98" s="30"/>
      <c r="G98" s="30"/>
      <c r="H98" s="31"/>
      <c r="I98" s="31"/>
      <c r="J98" s="31"/>
      <c r="K98" s="31"/>
      <c r="L98" s="24">
        <f t="shared" si="37"/>
        <v>0</v>
      </c>
      <c r="M98" s="30"/>
      <c r="N98" s="30"/>
      <c r="O98" s="30"/>
      <c r="P98" s="30"/>
    </row>
    <row r="99" spans="1:16" s="1" customFormat="1">
      <c r="A99" s="28"/>
      <c r="B99" s="32" t="s">
        <v>22</v>
      </c>
      <c r="C99" s="24">
        <f t="shared" si="36"/>
        <v>0</v>
      </c>
      <c r="D99" s="30"/>
      <c r="E99" s="30"/>
      <c r="F99" s="30"/>
      <c r="G99" s="30"/>
      <c r="H99" s="31"/>
      <c r="I99" s="31"/>
      <c r="J99" s="31"/>
      <c r="K99" s="31"/>
      <c r="L99" s="24">
        <f t="shared" si="37"/>
        <v>0</v>
      </c>
      <c r="M99" s="30"/>
      <c r="N99" s="30"/>
      <c r="O99" s="30"/>
      <c r="P99" s="30"/>
    </row>
    <row r="100" spans="1:16" s="1" customFormat="1">
      <c r="A100" s="28"/>
      <c r="B100" s="32" t="s">
        <v>23</v>
      </c>
      <c r="C100" s="24">
        <f t="shared" si="36"/>
        <v>131221</v>
      </c>
      <c r="D100" s="30"/>
      <c r="E100" s="30">
        <v>131221</v>
      </c>
      <c r="F100" s="30"/>
      <c r="G100" s="30"/>
      <c r="H100" s="31"/>
      <c r="I100" s="31"/>
      <c r="J100" s="31"/>
      <c r="K100" s="31"/>
      <c r="L100" s="24">
        <f t="shared" si="37"/>
        <v>0</v>
      </c>
      <c r="M100" s="30"/>
      <c r="N100" s="30"/>
      <c r="O100" s="30"/>
      <c r="P100" s="30"/>
    </row>
    <row r="101" spans="1:16" s="1" customFormat="1">
      <c r="A101" s="28"/>
      <c r="B101" s="29" t="s">
        <v>24</v>
      </c>
      <c r="C101" s="24">
        <f t="shared" si="36"/>
        <v>0</v>
      </c>
      <c r="D101" s="30">
        <v>5793.36</v>
      </c>
      <c r="E101" s="30"/>
      <c r="F101" s="30"/>
      <c r="G101" s="30"/>
      <c r="H101" s="31"/>
      <c r="I101" s="31"/>
      <c r="J101" s="31"/>
      <c r="K101" s="31"/>
      <c r="L101" s="24">
        <f t="shared" si="37"/>
        <v>0</v>
      </c>
      <c r="M101" s="30">
        <v>5793.36</v>
      </c>
      <c r="N101" s="30"/>
      <c r="O101" s="30"/>
      <c r="P101" s="30"/>
    </row>
    <row r="102" spans="1:16" s="1" customFormat="1">
      <c r="A102" s="28"/>
      <c r="B102" s="34" t="s">
        <v>25</v>
      </c>
      <c r="C102" s="24">
        <f t="shared" si="36"/>
        <v>0</v>
      </c>
      <c r="D102" s="30">
        <v>32208.7</v>
      </c>
      <c r="E102" s="30"/>
      <c r="F102" s="30"/>
      <c r="G102" s="30"/>
      <c r="H102" s="31"/>
      <c r="I102" s="31"/>
      <c r="J102" s="31"/>
      <c r="K102" s="31"/>
      <c r="L102" s="24">
        <f t="shared" si="37"/>
        <v>0</v>
      </c>
      <c r="M102" s="30">
        <v>32208.7</v>
      </c>
      <c r="N102" s="30"/>
      <c r="O102" s="30"/>
      <c r="P102" s="30"/>
    </row>
    <row r="103" spans="1:16" s="1" customFormat="1">
      <c r="A103" s="28"/>
      <c r="B103" s="32" t="s">
        <v>26</v>
      </c>
      <c r="C103" s="24">
        <f t="shared" si="36"/>
        <v>0</v>
      </c>
      <c r="D103" s="30"/>
      <c r="E103" s="30"/>
      <c r="F103" s="30"/>
      <c r="G103" s="30"/>
      <c r="H103" s="31"/>
      <c r="I103" s="31"/>
      <c r="J103" s="31"/>
      <c r="K103" s="31"/>
      <c r="L103" s="24">
        <f t="shared" si="37"/>
        <v>0</v>
      </c>
      <c r="M103" s="30"/>
      <c r="N103" s="30"/>
      <c r="O103" s="30"/>
      <c r="P103" s="30"/>
    </row>
    <row r="104" spans="1:16" s="1" customFormat="1" ht="30">
      <c r="A104" s="28"/>
      <c r="B104" s="35" t="s">
        <v>27</v>
      </c>
      <c r="C104" s="36">
        <f t="shared" ref="C104:G104" si="38">SUM(C105:C108)</f>
        <v>16071.92</v>
      </c>
      <c r="D104" s="36">
        <f t="shared" si="38"/>
        <v>224304.57</v>
      </c>
      <c r="E104" s="36">
        <f t="shared" si="38"/>
        <v>16071.92</v>
      </c>
      <c r="F104" s="36">
        <f t="shared" si="38"/>
        <v>0</v>
      </c>
      <c r="G104" s="36">
        <f t="shared" si="38"/>
        <v>0</v>
      </c>
      <c r="H104" s="31"/>
      <c r="I104" s="31"/>
      <c r="J104" s="31"/>
      <c r="K104" s="31"/>
      <c r="L104" s="36">
        <f t="shared" ref="L104:P104" si="39">SUM(L105:L108)</f>
        <v>0</v>
      </c>
      <c r="M104" s="36">
        <f t="shared" si="39"/>
        <v>224304.57</v>
      </c>
      <c r="N104" s="36">
        <f t="shared" si="39"/>
        <v>0</v>
      </c>
      <c r="O104" s="36">
        <f t="shared" si="39"/>
        <v>0</v>
      </c>
      <c r="P104" s="36">
        <f t="shared" si="39"/>
        <v>0</v>
      </c>
    </row>
    <row r="105" spans="1:16" s="1" customFormat="1">
      <c r="A105" s="28"/>
      <c r="B105" s="38" t="s">
        <v>28</v>
      </c>
      <c r="C105" s="24">
        <f t="shared" ref="C105:C115" si="40">E105+F105+G105</f>
        <v>0</v>
      </c>
      <c r="D105" s="30">
        <v>193085.39</v>
      </c>
      <c r="E105" s="30"/>
      <c r="F105" s="30"/>
      <c r="G105" s="30"/>
      <c r="H105" s="31"/>
      <c r="I105" s="31"/>
      <c r="J105" s="31"/>
      <c r="K105" s="31"/>
      <c r="L105" s="24">
        <f t="shared" ref="L105:L115" si="41">N105+O105+P105</f>
        <v>0</v>
      </c>
      <c r="M105" s="30">
        <v>193085.39</v>
      </c>
      <c r="N105" s="30"/>
      <c r="O105" s="30"/>
      <c r="P105" s="30"/>
    </row>
    <row r="106" spans="1:16" s="1" customFormat="1">
      <c r="A106" s="28"/>
      <c r="B106" s="38" t="s">
        <v>29</v>
      </c>
      <c r="C106" s="24">
        <f t="shared" si="40"/>
        <v>12454.5</v>
      </c>
      <c r="D106" s="30"/>
      <c r="E106" s="30">
        <v>12454.5</v>
      </c>
      <c r="F106" s="30"/>
      <c r="G106" s="30"/>
      <c r="H106" s="31"/>
      <c r="I106" s="31"/>
      <c r="J106" s="31"/>
      <c r="K106" s="31"/>
      <c r="L106" s="24">
        <f t="shared" si="41"/>
        <v>0</v>
      </c>
      <c r="M106" s="30"/>
      <c r="N106" s="30"/>
      <c r="O106" s="30"/>
      <c r="P106" s="30"/>
    </row>
    <row r="107" spans="1:16" s="1" customFormat="1">
      <c r="A107" s="28"/>
      <c r="B107" s="38" t="s">
        <v>30</v>
      </c>
      <c r="C107" s="24">
        <f t="shared" si="40"/>
        <v>0</v>
      </c>
      <c r="D107" s="30">
        <f>26313.14+4906.04</f>
        <v>31219.18</v>
      </c>
      <c r="E107" s="30"/>
      <c r="F107" s="30"/>
      <c r="G107" s="30"/>
      <c r="H107" s="31"/>
      <c r="I107" s="31"/>
      <c r="J107" s="31"/>
      <c r="K107" s="31"/>
      <c r="L107" s="24">
        <f t="shared" si="41"/>
        <v>0</v>
      </c>
      <c r="M107" s="30">
        <f>26313.14+4906.04</f>
        <v>31219.18</v>
      </c>
      <c r="N107" s="30"/>
      <c r="O107" s="30"/>
      <c r="P107" s="30"/>
    </row>
    <row r="108" spans="1:16" s="1" customFormat="1">
      <c r="A108" s="28"/>
      <c r="B108" s="38" t="s">
        <v>31</v>
      </c>
      <c r="C108" s="24">
        <f t="shared" si="40"/>
        <v>3617.42</v>
      </c>
      <c r="D108" s="30"/>
      <c r="E108" s="30">
        <v>3617.42</v>
      </c>
      <c r="F108" s="30"/>
      <c r="G108" s="30"/>
      <c r="H108" s="31"/>
      <c r="I108" s="31"/>
      <c r="J108" s="31"/>
      <c r="K108" s="31"/>
      <c r="L108" s="24">
        <f t="shared" si="41"/>
        <v>0</v>
      </c>
      <c r="M108" s="30"/>
      <c r="N108" s="30"/>
      <c r="O108" s="30"/>
      <c r="P108" s="30"/>
    </row>
    <row r="109" spans="1:16" s="1" customFormat="1" ht="30">
      <c r="A109" s="28"/>
      <c r="B109" s="39" t="s">
        <v>32</v>
      </c>
      <c r="C109" s="24">
        <f t="shared" si="40"/>
        <v>0</v>
      </c>
      <c r="D109" s="30"/>
      <c r="E109" s="30"/>
      <c r="F109" s="30"/>
      <c r="G109" s="30"/>
      <c r="H109" s="31"/>
      <c r="I109" s="31"/>
      <c r="J109" s="31"/>
      <c r="K109" s="31"/>
      <c r="L109" s="24">
        <f t="shared" si="41"/>
        <v>0</v>
      </c>
      <c r="M109" s="30"/>
      <c r="N109" s="30"/>
      <c r="O109" s="30"/>
      <c r="P109" s="30"/>
    </row>
    <row r="110" spans="1:16" s="1" customFormat="1" ht="30">
      <c r="A110" s="28"/>
      <c r="B110" s="39" t="s">
        <v>33</v>
      </c>
      <c r="C110" s="24">
        <f t="shared" si="40"/>
        <v>927.7</v>
      </c>
      <c r="D110" s="30">
        <f>11362.92+10250</f>
        <v>21612.92</v>
      </c>
      <c r="E110" s="30">
        <v>927.7</v>
      </c>
      <c r="F110" s="30"/>
      <c r="G110" s="30"/>
      <c r="H110" s="31"/>
      <c r="I110" s="31"/>
      <c r="J110" s="31"/>
      <c r="K110" s="31"/>
      <c r="L110" s="24">
        <f t="shared" si="41"/>
        <v>0</v>
      </c>
      <c r="M110" s="30">
        <f>11362.92+10250</f>
        <v>21612.92</v>
      </c>
      <c r="N110" s="30"/>
      <c r="O110" s="30"/>
      <c r="P110" s="30"/>
    </row>
    <row r="111" spans="1:16" s="1" customFormat="1" ht="30">
      <c r="A111" s="28"/>
      <c r="B111" s="40" t="s">
        <v>34</v>
      </c>
      <c r="C111" s="24">
        <f t="shared" si="40"/>
        <v>0</v>
      </c>
      <c r="D111" s="30"/>
      <c r="E111" s="30"/>
      <c r="F111" s="30"/>
      <c r="G111" s="30"/>
      <c r="H111" s="31"/>
      <c r="I111" s="31"/>
      <c r="J111" s="31"/>
      <c r="K111" s="31"/>
      <c r="L111" s="24">
        <f t="shared" si="41"/>
        <v>0</v>
      </c>
      <c r="M111" s="30"/>
      <c r="N111" s="30"/>
      <c r="O111" s="30"/>
      <c r="P111" s="30"/>
    </row>
    <row r="112" spans="1:16" s="1" customFormat="1">
      <c r="A112" s="28"/>
      <c r="B112" s="40" t="s">
        <v>35</v>
      </c>
      <c r="C112" s="24">
        <f t="shared" si="40"/>
        <v>1977.83</v>
      </c>
      <c r="D112" s="30">
        <f>48514+16800+5775+16992</f>
        <v>88081</v>
      </c>
      <c r="E112" s="30">
        <v>1977.83</v>
      </c>
      <c r="F112" s="30"/>
      <c r="G112" s="30"/>
      <c r="H112" s="31"/>
      <c r="I112" s="31"/>
      <c r="J112" s="31"/>
      <c r="K112" s="31"/>
      <c r="L112" s="24">
        <f t="shared" si="41"/>
        <v>0</v>
      </c>
      <c r="M112" s="30">
        <f>48514+16800+5775+16992</f>
        <v>88081</v>
      </c>
      <c r="N112" s="30"/>
      <c r="O112" s="30"/>
      <c r="P112" s="30"/>
    </row>
    <row r="113" spans="1:16" s="1" customFormat="1" ht="30">
      <c r="A113" s="28"/>
      <c r="B113" s="41" t="s">
        <v>36</v>
      </c>
      <c r="C113" s="24">
        <f t="shared" si="40"/>
        <v>0</v>
      </c>
      <c r="D113" s="30"/>
      <c r="E113" s="30"/>
      <c r="F113" s="30"/>
      <c r="G113" s="30"/>
      <c r="H113" s="31"/>
      <c r="I113" s="31"/>
      <c r="J113" s="31"/>
      <c r="K113" s="31"/>
      <c r="L113" s="24">
        <f t="shared" si="41"/>
        <v>0</v>
      </c>
      <c r="M113" s="30"/>
      <c r="N113" s="30"/>
      <c r="O113" s="30"/>
      <c r="P113" s="30"/>
    </row>
    <row r="114" spans="1:16" s="1" customFormat="1">
      <c r="A114" s="28"/>
      <c r="B114" s="42" t="s">
        <v>37</v>
      </c>
      <c r="C114" s="24">
        <f t="shared" si="40"/>
        <v>0</v>
      </c>
      <c r="D114" s="30"/>
      <c r="E114" s="30"/>
      <c r="F114" s="30"/>
      <c r="G114" s="30"/>
      <c r="H114" s="31"/>
      <c r="I114" s="31"/>
      <c r="J114" s="31"/>
      <c r="K114" s="31"/>
      <c r="L114" s="24">
        <f t="shared" si="41"/>
        <v>0</v>
      </c>
      <c r="M114" s="30"/>
      <c r="N114" s="30"/>
      <c r="O114" s="30"/>
      <c r="P114" s="30"/>
    </row>
    <row r="115" spans="1:16" s="1" customFormat="1" ht="30">
      <c r="A115" s="28"/>
      <c r="B115" s="42" t="s">
        <v>38</v>
      </c>
      <c r="C115" s="24">
        <f t="shared" si="40"/>
        <v>0</v>
      </c>
      <c r="D115" s="30">
        <f>3340+6642+127100+545857</f>
        <v>682939</v>
      </c>
      <c r="E115" s="30"/>
      <c r="F115" s="30"/>
      <c r="G115" s="30"/>
      <c r="H115" s="31"/>
      <c r="I115" s="31"/>
      <c r="J115" s="31"/>
      <c r="K115" s="31"/>
      <c r="L115" s="24">
        <f t="shared" si="41"/>
        <v>0</v>
      </c>
      <c r="M115" s="30">
        <f>3340+6642+127100+545857</f>
        <v>682939</v>
      </c>
      <c r="N115" s="30"/>
      <c r="O115" s="30"/>
      <c r="P115" s="30"/>
    </row>
    <row r="116" spans="1:16" s="1" customFormat="1" ht="30">
      <c r="A116" s="28"/>
      <c r="B116" s="43" t="s">
        <v>39</v>
      </c>
      <c r="C116" s="36">
        <f t="shared" ref="C116:G116" si="42">SUM(C117:C123)</f>
        <v>0</v>
      </c>
      <c r="D116" s="36">
        <f t="shared" si="42"/>
        <v>30630.09</v>
      </c>
      <c r="E116" s="36">
        <f t="shared" si="42"/>
        <v>0</v>
      </c>
      <c r="F116" s="36">
        <f t="shared" si="42"/>
        <v>0</v>
      </c>
      <c r="G116" s="36">
        <f t="shared" si="42"/>
        <v>0</v>
      </c>
      <c r="H116" s="31"/>
      <c r="I116" s="31"/>
      <c r="J116" s="31"/>
      <c r="K116" s="31"/>
      <c r="L116" s="36">
        <f t="shared" ref="L116:P116" si="43">SUM(L117:L123)</f>
        <v>0</v>
      </c>
      <c r="M116" s="36">
        <f t="shared" si="43"/>
        <v>30630.09</v>
      </c>
      <c r="N116" s="36">
        <f t="shared" si="43"/>
        <v>0</v>
      </c>
      <c r="O116" s="36">
        <f t="shared" si="43"/>
        <v>0</v>
      </c>
      <c r="P116" s="36">
        <f t="shared" si="43"/>
        <v>0</v>
      </c>
    </row>
    <row r="117" spans="1:16" s="1" customFormat="1" ht="30">
      <c r="A117" s="28" t="s">
        <v>40</v>
      </c>
      <c r="B117" s="39" t="s">
        <v>41</v>
      </c>
      <c r="C117" s="24">
        <f t="shared" ref="C117:C123" si="44">E117+F117+G117</f>
        <v>0</v>
      </c>
      <c r="D117" s="30"/>
      <c r="E117" s="30"/>
      <c r="F117" s="30"/>
      <c r="G117" s="30"/>
      <c r="H117" s="31"/>
      <c r="I117" s="31"/>
      <c r="J117" s="31"/>
      <c r="K117" s="31"/>
      <c r="L117" s="24">
        <f t="shared" ref="L117:L123" si="45">N117+O117+P117</f>
        <v>0</v>
      </c>
      <c r="M117" s="30"/>
      <c r="N117" s="30"/>
      <c r="O117" s="30"/>
      <c r="P117" s="30"/>
    </row>
    <row r="118" spans="1:16" s="1" customFormat="1">
      <c r="A118" s="28"/>
      <c r="B118" s="39" t="s">
        <v>42</v>
      </c>
      <c r="C118" s="24">
        <f t="shared" si="44"/>
        <v>0</v>
      </c>
      <c r="D118" s="30"/>
      <c r="E118" s="30"/>
      <c r="F118" s="30"/>
      <c r="G118" s="30"/>
      <c r="H118" s="31"/>
      <c r="I118" s="31"/>
      <c r="J118" s="31"/>
      <c r="K118" s="31"/>
      <c r="L118" s="24">
        <f t="shared" si="45"/>
        <v>0</v>
      </c>
      <c r="M118" s="30"/>
      <c r="N118" s="30"/>
      <c r="O118" s="30"/>
      <c r="P118" s="30"/>
    </row>
    <row r="119" spans="1:16" s="1" customFormat="1">
      <c r="A119" s="28"/>
      <c r="B119" s="39" t="s">
        <v>43</v>
      </c>
      <c r="C119" s="24">
        <f t="shared" si="44"/>
        <v>0</v>
      </c>
      <c r="D119" s="30"/>
      <c r="E119" s="30"/>
      <c r="F119" s="30"/>
      <c r="G119" s="30"/>
      <c r="H119" s="31"/>
      <c r="I119" s="31"/>
      <c r="J119" s="31"/>
      <c r="K119" s="31"/>
      <c r="L119" s="24">
        <f t="shared" si="45"/>
        <v>0</v>
      </c>
      <c r="M119" s="30"/>
      <c r="N119" s="30"/>
      <c r="O119" s="30"/>
      <c r="P119" s="30"/>
    </row>
    <row r="120" spans="1:16" s="1" customFormat="1">
      <c r="A120" s="28"/>
      <c r="B120" s="39" t="s">
        <v>44</v>
      </c>
      <c r="C120" s="24">
        <f t="shared" si="44"/>
        <v>0</v>
      </c>
      <c r="D120" s="30">
        <f>7324+4991.09</f>
        <v>12315.09</v>
      </c>
      <c r="E120" s="30"/>
      <c r="F120" s="30"/>
      <c r="G120" s="30"/>
      <c r="H120" s="31"/>
      <c r="I120" s="31"/>
      <c r="J120" s="31"/>
      <c r="K120" s="31"/>
      <c r="L120" s="24">
        <f t="shared" si="45"/>
        <v>0</v>
      </c>
      <c r="M120" s="30">
        <f>7324+4991.09</f>
        <v>12315.09</v>
      </c>
      <c r="N120" s="30"/>
      <c r="O120" s="30"/>
      <c r="P120" s="30"/>
    </row>
    <row r="121" spans="1:16" s="1" customFormat="1">
      <c r="A121" s="28"/>
      <c r="B121" s="39" t="s">
        <v>45</v>
      </c>
      <c r="C121" s="24">
        <f t="shared" si="44"/>
        <v>0</v>
      </c>
      <c r="D121" s="30"/>
      <c r="E121" s="30"/>
      <c r="F121" s="30"/>
      <c r="G121" s="30"/>
      <c r="H121" s="31"/>
      <c r="I121" s="31"/>
      <c r="J121" s="31"/>
      <c r="K121" s="31"/>
      <c r="L121" s="24">
        <f t="shared" si="45"/>
        <v>0</v>
      </c>
      <c r="M121" s="30"/>
      <c r="N121" s="30"/>
      <c r="O121" s="30"/>
      <c r="P121" s="30"/>
    </row>
    <row r="122" spans="1:16" s="1" customFormat="1" ht="30">
      <c r="A122" s="28"/>
      <c r="B122" s="39" t="s">
        <v>46</v>
      </c>
      <c r="C122" s="24">
        <f t="shared" si="44"/>
        <v>0</v>
      </c>
      <c r="D122" s="30"/>
      <c r="E122" s="30"/>
      <c r="F122" s="30"/>
      <c r="G122" s="30"/>
      <c r="H122" s="31"/>
      <c r="I122" s="31"/>
      <c r="J122" s="31"/>
      <c r="K122" s="31"/>
      <c r="L122" s="24">
        <f t="shared" si="45"/>
        <v>0</v>
      </c>
      <c r="M122" s="30"/>
      <c r="N122" s="30"/>
      <c r="O122" s="30"/>
      <c r="P122" s="30"/>
    </row>
    <row r="123" spans="1:16" s="1" customFormat="1">
      <c r="A123" s="28"/>
      <c r="B123" s="39" t="s">
        <v>47</v>
      </c>
      <c r="C123" s="24">
        <f t="shared" si="44"/>
        <v>0</v>
      </c>
      <c r="D123" s="30">
        <f>3680+14635</f>
        <v>18315</v>
      </c>
      <c r="E123" s="30"/>
      <c r="F123" s="30"/>
      <c r="G123" s="30"/>
      <c r="H123" s="31"/>
      <c r="I123" s="31"/>
      <c r="J123" s="31"/>
      <c r="K123" s="31"/>
      <c r="L123" s="24">
        <f t="shared" si="45"/>
        <v>0</v>
      </c>
      <c r="M123" s="30">
        <f>3680+14635</f>
        <v>18315</v>
      </c>
      <c r="N123" s="30"/>
      <c r="O123" s="30"/>
      <c r="P123" s="30"/>
    </row>
    <row r="124" spans="1:16" s="1" customFormat="1" ht="36.75" customHeight="1">
      <c r="A124" s="211" t="s">
        <v>3</v>
      </c>
      <c r="B124" s="213" t="s">
        <v>4</v>
      </c>
      <c r="C124" s="213" t="s">
        <v>5</v>
      </c>
      <c r="D124" s="10" t="s">
        <v>6</v>
      </c>
      <c r="E124" s="215" t="s">
        <v>7</v>
      </c>
      <c r="F124" s="216"/>
      <c r="G124" s="217"/>
      <c r="H124" s="218" t="s">
        <v>8</v>
      </c>
      <c r="I124" s="218"/>
      <c r="J124" s="218"/>
      <c r="K124" s="11"/>
      <c r="L124" s="219" t="s">
        <v>9</v>
      </c>
      <c r="M124" s="12" t="s">
        <v>6</v>
      </c>
      <c r="N124" s="208" t="s">
        <v>10</v>
      </c>
      <c r="O124" s="209"/>
      <c r="P124" s="210"/>
    </row>
    <row r="125" spans="1:16" s="1" customFormat="1" ht="47.25" customHeight="1">
      <c r="A125" s="212"/>
      <c r="B125" s="214"/>
      <c r="C125" s="214"/>
      <c r="D125" s="13" t="s">
        <v>11</v>
      </c>
      <c r="E125" s="13" t="s">
        <v>12</v>
      </c>
      <c r="F125" s="13" t="s">
        <v>13</v>
      </c>
      <c r="G125" s="13" t="s">
        <v>14</v>
      </c>
      <c r="H125" s="14" t="s">
        <v>15</v>
      </c>
      <c r="I125" s="14" t="s">
        <v>16</v>
      </c>
      <c r="J125" s="14" t="s">
        <v>17</v>
      </c>
      <c r="K125" s="14" t="s">
        <v>18</v>
      </c>
      <c r="L125" s="220"/>
      <c r="M125" s="15" t="s">
        <v>11</v>
      </c>
      <c r="N125" s="15" t="s">
        <v>12</v>
      </c>
      <c r="O125" s="15" t="s">
        <v>13</v>
      </c>
      <c r="P125" s="15" t="s">
        <v>14</v>
      </c>
    </row>
    <row r="126" spans="1:16" s="1" customFormat="1">
      <c r="A126" s="16">
        <v>5</v>
      </c>
      <c r="B126" s="47" t="s">
        <v>51</v>
      </c>
      <c r="C126" s="18">
        <f t="shared" ref="C126:G126" si="46">C127+C128+C129+C130+C131+C132+C133+C134+C139+C140+C141+C142+C143+C144+C145+C146</f>
        <v>3175305.66</v>
      </c>
      <c r="D126" s="18">
        <f t="shared" si="46"/>
        <v>54018.75</v>
      </c>
      <c r="E126" s="18">
        <f t="shared" si="46"/>
        <v>2422968.75</v>
      </c>
      <c r="F126" s="18">
        <f t="shared" si="46"/>
        <v>0</v>
      </c>
      <c r="G126" s="18">
        <f t="shared" si="46"/>
        <v>752336.91</v>
      </c>
      <c r="H126" s="19"/>
      <c r="I126" s="20"/>
      <c r="J126" s="20"/>
      <c r="K126" s="11"/>
      <c r="L126" s="18">
        <f t="shared" ref="L126:P126" si="47">L127+L128+L129+L130+L131+L132+L133+L134+L139+L140+L141+L142+L143+L144+L145+L146</f>
        <v>0</v>
      </c>
      <c r="M126" s="18">
        <f t="shared" si="47"/>
        <v>54018.75</v>
      </c>
      <c r="N126" s="18">
        <f t="shared" si="47"/>
        <v>0</v>
      </c>
      <c r="O126" s="18">
        <f t="shared" si="47"/>
        <v>0</v>
      </c>
      <c r="P126" s="18">
        <f t="shared" si="47"/>
        <v>0</v>
      </c>
    </row>
    <row r="127" spans="1:16" s="1" customFormat="1" ht="21.75" customHeight="1">
      <c r="A127" s="22"/>
      <c r="B127" s="23" t="s">
        <v>20</v>
      </c>
      <c r="C127" s="24">
        <f t="shared" ref="C127:C133" si="48">E127+F127+G127</f>
        <v>752336.91</v>
      </c>
      <c r="D127" s="25"/>
      <c r="E127" s="25"/>
      <c r="F127" s="25"/>
      <c r="G127" s="24">
        <v>752336.91</v>
      </c>
      <c r="H127" s="26"/>
      <c r="I127" s="24"/>
      <c r="J127" s="24"/>
      <c r="K127" s="27"/>
      <c r="L127" s="24">
        <f t="shared" ref="L127:L133" si="49">N127+O127+P127</f>
        <v>0</v>
      </c>
      <c r="M127" s="25"/>
      <c r="N127" s="25"/>
      <c r="O127" s="25"/>
      <c r="P127" s="24"/>
    </row>
    <row r="128" spans="1:16" s="1" customFormat="1">
      <c r="A128" s="28"/>
      <c r="B128" s="29" t="s">
        <v>21</v>
      </c>
      <c r="C128" s="24">
        <f t="shared" si="48"/>
        <v>228498.97999999998</v>
      </c>
      <c r="D128" s="30"/>
      <c r="E128" s="30">
        <f>66446.98+162052</f>
        <v>228498.97999999998</v>
      </c>
      <c r="F128" s="30"/>
      <c r="G128" s="30"/>
      <c r="H128" s="31"/>
      <c r="I128" s="31"/>
      <c r="J128" s="31"/>
      <c r="K128" s="31"/>
      <c r="L128" s="24">
        <f t="shared" si="49"/>
        <v>0</v>
      </c>
      <c r="M128" s="30"/>
      <c r="N128" s="30"/>
      <c r="O128" s="30"/>
      <c r="P128" s="30"/>
    </row>
    <row r="129" spans="1:16" s="1" customFormat="1">
      <c r="A129" s="28"/>
      <c r="B129" s="32" t="s">
        <v>22</v>
      </c>
      <c r="C129" s="24">
        <f t="shared" si="48"/>
        <v>0</v>
      </c>
      <c r="D129" s="30"/>
      <c r="E129" s="30"/>
      <c r="F129" s="30"/>
      <c r="G129" s="30"/>
      <c r="H129" s="31"/>
      <c r="I129" s="31"/>
      <c r="J129" s="31"/>
      <c r="K129" s="31"/>
      <c r="L129" s="24">
        <f t="shared" si="49"/>
        <v>0</v>
      </c>
      <c r="M129" s="30"/>
      <c r="N129" s="30"/>
      <c r="O129" s="30"/>
      <c r="P129" s="30"/>
    </row>
    <row r="130" spans="1:16" s="1" customFormat="1">
      <c r="A130" s="28"/>
      <c r="B130" s="32" t="s">
        <v>23</v>
      </c>
      <c r="C130" s="24">
        <f t="shared" si="48"/>
        <v>0</v>
      </c>
      <c r="D130" s="30"/>
      <c r="E130" s="30"/>
      <c r="F130" s="30"/>
      <c r="G130" s="30"/>
      <c r="H130" s="31"/>
      <c r="I130" s="31"/>
      <c r="J130" s="31"/>
      <c r="K130" s="31"/>
      <c r="L130" s="24">
        <f t="shared" si="49"/>
        <v>0</v>
      </c>
      <c r="M130" s="30"/>
      <c r="N130" s="30"/>
      <c r="O130" s="30"/>
      <c r="P130" s="30"/>
    </row>
    <row r="131" spans="1:16" s="1" customFormat="1">
      <c r="A131" s="28"/>
      <c r="B131" s="29" t="s">
        <v>24</v>
      </c>
      <c r="C131" s="24">
        <f t="shared" si="48"/>
        <v>1350302.58</v>
      </c>
      <c r="D131" s="30"/>
      <c r="E131" s="30">
        <f>121694.95+8392.76+222685.2+997529.67</f>
        <v>1350302.58</v>
      </c>
      <c r="F131" s="30"/>
      <c r="G131" s="30"/>
      <c r="H131" s="31"/>
      <c r="I131" s="31"/>
      <c r="J131" s="31"/>
      <c r="K131" s="31"/>
      <c r="L131" s="24">
        <f t="shared" si="49"/>
        <v>0</v>
      </c>
      <c r="M131" s="30"/>
      <c r="N131" s="30"/>
      <c r="O131" s="30"/>
      <c r="P131" s="30"/>
    </row>
    <row r="132" spans="1:16" s="1" customFormat="1">
      <c r="A132" s="28"/>
      <c r="B132" s="34" t="s">
        <v>25</v>
      </c>
      <c r="C132" s="24">
        <f t="shared" si="48"/>
        <v>0</v>
      </c>
      <c r="D132" s="30"/>
      <c r="E132" s="30"/>
      <c r="F132" s="30"/>
      <c r="G132" s="30"/>
      <c r="H132" s="31"/>
      <c r="I132" s="31"/>
      <c r="J132" s="31"/>
      <c r="K132" s="31"/>
      <c r="L132" s="24">
        <f t="shared" si="49"/>
        <v>0</v>
      </c>
      <c r="M132" s="30"/>
      <c r="N132" s="30"/>
      <c r="O132" s="30"/>
      <c r="P132" s="30"/>
    </row>
    <row r="133" spans="1:16" s="1" customFormat="1">
      <c r="A133" s="28"/>
      <c r="B133" s="32" t="s">
        <v>26</v>
      </c>
      <c r="C133" s="24">
        <f t="shared" si="48"/>
        <v>0</v>
      </c>
      <c r="D133" s="30"/>
      <c r="E133" s="30"/>
      <c r="F133" s="30"/>
      <c r="G133" s="30"/>
      <c r="H133" s="31"/>
      <c r="I133" s="31"/>
      <c r="J133" s="31"/>
      <c r="K133" s="31"/>
      <c r="L133" s="24">
        <f t="shared" si="49"/>
        <v>0</v>
      </c>
      <c r="M133" s="30"/>
      <c r="N133" s="30"/>
      <c r="O133" s="30"/>
      <c r="P133" s="30"/>
    </row>
    <row r="134" spans="1:16" s="1" customFormat="1" ht="30">
      <c r="A134" s="28"/>
      <c r="B134" s="35" t="s">
        <v>27</v>
      </c>
      <c r="C134" s="36">
        <f t="shared" ref="C134:G134" si="50">SUM(C135:C138)</f>
        <v>98463.61</v>
      </c>
      <c r="D134" s="36">
        <f t="shared" si="50"/>
        <v>0</v>
      </c>
      <c r="E134" s="36">
        <f t="shared" si="50"/>
        <v>98463.61</v>
      </c>
      <c r="F134" s="36">
        <f t="shared" si="50"/>
        <v>0</v>
      </c>
      <c r="G134" s="36">
        <f t="shared" si="50"/>
        <v>0</v>
      </c>
      <c r="H134" s="31"/>
      <c r="I134" s="31"/>
      <c r="J134" s="31"/>
      <c r="K134" s="31"/>
      <c r="L134" s="36">
        <f t="shared" ref="L134:P134" si="51">SUM(L135:L138)</f>
        <v>0</v>
      </c>
      <c r="M134" s="36">
        <f t="shared" si="51"/>
        <v>0</v>
      </c>
      <c r="N134" s="36">
        <f t="shared" si="51"/>
        <v>0</v>
      </c>
      <c r="O134" s="36">
        <f t="shared" si="51"/>
        <v>0</v>
      </c>
      <c r="P134" s="36">
        <f t="shared" si="51"/>
        <v>0</v>
      </c>
    </row>
    <row r="135" spans="1:16" s="1" customFormat="1">
      <c r="A135" s="28"/>
      <c r="B135" s="38" t="s">
        <v>28</v>
      </c>
      <c r="C135" s="24">
        <f t="shared" ref="C135:C145" si="52">E135+F135+G135</f>
        <v>0</v>
      </c>
      <c r="D135" s="30"/>
      <c r="E135" s="30"/>
      <c r="F135" s="30"/>
      <c r="G135" s="30"/>
      <c r="H135" s="31"/>
      <c r="I135" s="31"/>
      <c r="J135" s="31"/>
      <c r="K135" s="31"/>
      <c r="L135" s="24">
        <f t="shared" ref="L135:L145" si="53">N135+O135+P135</f>
        <v>0</v>
      </c>
      <c r="M135" s="30"/>
      <c r="N135" s="30"/>
      <c r="O135" s="30"/>
      <c r="P135" s="30"/>
    </row>
    <row r="136" spans="1:16" s="1" customFormat="1">
      <c r="A136" s="28"/>
      <c r="B136" s="38" t="s">
        <v>29</v>
      </c>
      <c r="C136" s="24">
        <f t="shared" si="52"/>
        <v>23163.61</v>
      </c>
      <c r="D136" s="30"/>
      <c r="E136" s="30">
        <v>23163.61</v>
      </c>
      <c r="F136" s="30"/>
      <c r="G136" s="30"/>
      <c r="H136" s="31"/>
      <c r="I136" s="31"/>
      <c r="J136" s="31"/>
      <c r="K136" s="31"/>
      <c r="L136" s="24">
        <f t="shared" si="53"/>
        <v>0</v>
      </c>
      <c r="M136" s="30"/>
      <c r="N136" s="30"/>
      <c r="O136" s="30"/>
      <c r="P136" s="30"/>
    </row>
    <row r="137" spans="1:16" s="1" customFormat="1">
      <c r="A137" s="28"/>
      <c r="B137" s="38" t="s">
        <v>30</v>
      </c>
      <c r="C137" s="24">
        <f t="shared" si="52"/>
        <v>0</v>
      </c>
      <c r="D137" s="30"/>
      <c r="E137" s="30"/>
      <c r="F137" s="30"/>
      <c r="G137" s="30"/>
      <c r="H137" s="31"/>
      <c r="I137" s="31"/>
      <c r="J137" s="31"/>
      <c r="K137" s="31"/>
      <c r="L137" s="24">
        <f t="shared" si="53"/>
        <v>0</v>
      </c>
      <c r="M137" s="30"/>
      <c r="N137" s="30"/>
      <c r="O137" s="30"/>
      <c r="P137" s="30"/>
    </row>
    <row r="138" spans="1:16" s="1" customFormat="1">
      <c r="A138" s="28"/>
      <c r="B138" s="38" t="s">
        <v>31</v>
      </c>
      <c r="C138" s="24">
        <f t="shared" si="52"/>
        <v>75300</v>
      </c>
      <c r="D138" s="30"/>
      <c r="E138" s="30">
        <v>75300</v>
      </c>
      <c r="F138" s="30"/>
      <c r="G138" s="30"/>
      <c r="H138" s="31"/>
      <c r="I138" s="31"/>
      <c r="J138" s="31"/>
      <c r="K138" s="31"/>
      <c r="L138" s="24">
        <f t="shared" si="53"/>
        <v>0</v>
      </c>
      <c r="M138" s="30"/>
      <c r="N138" s="30"/>
      <c r="O138" s="30"/>
      <c r="P138" s="30"/>
    </row>
    <row r="139" spans="1:16" s="1" customFormat="1" ht="30">
      <c r="A139" s="28"/>
      <c r="B139" s="39" t="s">
        <v>32</v>
      </c>
      <c r="C139" s="24">
        <f t="shared" si="52"/>
        <v>0</v>
      </c>
      <c r="D139" s="30"/>
      <c r="E139" s="30"/>
      <c r="F139" s="30"/>
      <c r="G139" s="30"/>
      <c r="H139" s="31"/>
      <c r="I139" s="31"/>
      <c r="J139" s="31"/>
      <c r="K139" s="31"/>
      <c r="L139" s="24">
        <f t="shared" si="53"/>
        <v>0</v>
      </c>
      <c r="M139" s="30"/>
      <c r="N139" s="30"/>
      <c r="O139" s="30"/>
      <c r="P139" s="30"/>
    </row>
    <row r="140" spans="1:16" s="1" customFormat="1" ht="30">
      <c r="A140" s="28"/>
      <c r="B140" s="39" t="s">
        <v>33</v>
      </c>
      <c r="C140" s="24">
        <f t="shared" si="52"/>
        <v>12400</v>
      </c>
      <c r="D140" s="30">
        <f>4018.75+50000</f>
        <v>54018.75</v>
      </c>
      <c r="E140" s="30">
        <f>6000+6400</f>
        <v>12400</v>
      </c>
      <c r="F140" s="30"/>
      <c r="G140" s="30"/>
      <c r="H140" s="31"/>
      <c r="I140" s="31"/>
      <c r="J140" s="31"/>
      <c r="K140" s="31"/>
      <c r="L140" s="24">
        <f t="shared" si="53"/>
        <v>0</v>
      </c>
      <c r="M140" s="30">
        <f>4018.75+50000</f>
        <v>54018.75</v>
      </c>
      <c r="N140" s="30"/>
      <c r="O140" s="30"/>
      <c r="P140" s="30"/>
    </row>
    <row r="141" spans="1:16" s="1" customFormat="1" ht="30">
      <c r="A141" s="28"/>
      <c r="B141" s="40" t="s">
        <v>34</v>
      </c>
      <c r="C141" s="24">
        <f t="shared" si="52"/>
        <v>0</v>
      </c>
      <c r="D141" s="30"/>
      <c r="E141" s="30"/>
      <c r="F141" s="30"/>
      <c r="G141" s="30"/>
      <c r="H141" s="31"/>
      <c r="I141" s="31"/>
      <c r="J141" s="31"/>
      <c r="K141" s="31"/>
      <c r="L141" s="24">
        <f t="shared" si="53"/>
        <v>0</v>
      </c>
      <c r="M141" s="30"/>
      <c r="N141" s="30"/>
      <c r="O141" s="30"/>
      <c r="P141" s="30"/>
    </row>
    <row r="142" spans="1:16" s="1" customFormat="1">
      <c r="A142" s="28"/>
      <c r="B142" s="40" t="s">
        <v>35</v>
      </c>
      <c r="C142" s="24">
        <f t="shared" si="52"/>
        <v>143993.89000000001</v>
      </c>
      <c r="D142" s="30"/>
      <c r="E142" s="30">
        <f>24943.89+57000+39600+21250+1200</f>
        <v>143993.89000000001</v>
      </c>
      <c r="F142" s="30"/>
      <c r="G142" s="30"/>
      <c r="H142" s="31"/>
      <c r="I142" s="31"/>
      <c r="J142" s="31"/>
      <c r="K142" s="31"/>
      <c r="L142" s="24">
        <f t="shared" si="53"/>
        <v>0</v>
      </c>
      <c r="M142" s="30"/>
      <c r="N142" s="30"/>
      <c r="O142" s="30"/>
      <c r="P142" s="30"/>
    </row>
    <row r="143" spans="1:16" s="1" customFormat="1" ht="30">
      <c r="A143" s="28"/>
      <c r="B143" s="41" t="s">
        <v>36</v>
      </c>
      <c r="C143" s="24">
        <f t="shared" si="52"/>
        <v>0</v>
      </c>
      <c r="D143" s="30"/>
      <c r="E143" s="30"/>
      <c r="F143" s="30"/>
      <c r="G143" s="30"/>
      <c r="H143" s="31"/>
      <c r="I143" s="31"/>
      <c r="J143" s="31"/>
      <c r="K143" s="31"/>
      <c r="L143" s="24">
        <f t="shared" si="53"/>
        <v>0</v>
      </c>
      <c r="M143" s="30"/>
      <c r="N143" s="30"/>
      <c r="O143" s="30"/>
      <c r="P143" s="30"/>
    </row>
    <row r="144" spans="1:16" s="1" customFormat="1">
      <c r="A144" s="28"/>
      <c r="B144" s="42" t="s">
        <v>37</v>
      </c>
      <c r="C144" s="24">
        <f t="shared" si="52"/>
        <v>0</v>
      </c>
      <c r="D144" s="30"/>
      <c r="E144" s="30"/>
      <c r="F144" s="30"/>
      <c r="G144" s="30"/>
      <c r="H144" s="31"/>
      <c r="I144" s="31"/>
      <c r="J144" s="31"/>
      <c r="K144" s="31"/>
      <c r="L144" s="24">
        <f t="shared" si="53"/>
        <v>0</v>
      </c>
      <c r="M144" s="30"/>
      <c r="N144" s="30"/>
      <c r="O144" s="30"/>
      <c r="P144" s="30"/>
    </row>
    <row r="145" spans="1:16" s="1" customFormat="1" ht="30">
      <c r="A145" s="28"/>
      <c r="B145" s="42" t="s">
        <v>38</v>
      </c>
      <c r="C145" s="24">
        <f t="shared" si="52"/>
        <v>10200</v>
      </c>
      <c r="D145" s="30"/>
      <c r="E145" s="30">
        <f>10200</f>
        <v>10200</v>
      </c>
      <c r="F145" s="30"/>
      <c r="G145" s="30"/>
      <c r="H145" s="31"/>
      <c r="I145" s="31"/>
      <c r="J145" s="31"/>
      <c r="K145" s="31"/>
      <c r="L145" s="24">
        <f t="shared" si="53"/>
        <v>0</v>
      </c>
      <c r="M145" s="30"/>
      <c r="N145" s="30"/>
      <c r="O145" s="30"/>
      <c r="P145" s="30"/>
    </row>
    <row r="146" spans="1:16" s="1" customFormat="1" ht="30">
      <c r="A146" s="28"/>
      <c r="B146" s="43" t="s">
        <v>39</v>
      </c>
      <c r="C146" s="36">
        <f t="shared" ref="C146:G146" si="54">SUM(C147:C153)</f>
        <v>579109.68999999994</v>
      </c>
      <c r="D146" s="36">
        <f t="shared" si="54"/>
        <v>0</v>
      </c>
      <c r="E146" s="36">
        <f t="shared" si="54"/>
        <v>579109.68999999994</v>
      </c>
      <c r="F146" s="36">
        <f t="shared" si="54"/>
        <v>0</v>
      </c>
      <c r="G146" s="36">
        <f t="shared" si="54"/>
        <v>0</v>
      </c>
      <c r="H146" s="31"/>
      <c r="I146" s="31"/>
      <c r="J146" s="31"/>
      <c r="K146" s="31"/>
      <c r="L146" s="36">
        <f t="shared" ref="L146:P146" si="55">SUM(L147:L153)</f>
        <v>0</v>
      </c>
      <c r="M146" s="36">
        <f t="shared" si="55"/>
        <v>0</v>
      </c>
      <c r="N146" s="36">
        <f t="shared" si="55"/>
        <v>0</v>
      </c>
      <c r="O146" s="36">
        <f t="shared" si="55"/>
        <v>0</v>
      </c>
      <c r="P146" s="36">
        <f t="shared" si="55"/>
        <v>0</v>
      </c>
    </row>
    <row r="147" spans="1:16" s="1" customFormat="1" ht="30">
      <c r="A147" s="28" t="s">
        <v>40</v>
      </c>
      <c r="B147" s="39" t="s">
        <v>41</v>
      </c>
      <c r="C147" s="24">
        <f t="shared" ref="C147:C153" si="56">E147+F147+G147</f>
        <v>0</v>
      </c>
      <c r="D147" s="30"/>
      <c r="E147" s="30"/>
      <c r="F147" s="30"/>
      <c r="G147" s="30"/>
      <c r="H147" s="31"/>
      <c r="I147" s="31"/>
      <c r="J147" s="31"/>
      <c r="K147" s="31"/>
      <c r="L147" s="24">
        <f t="shared" ref="L147:L153" si="57">N147+O147+P147</f>
        <v>0</v>
      </c>
      <c r="M147" s="30"/>
      <c r="N147" s="30"/>
      <c r="O147" s="30"/>
      <c r="P147" s="30"/>
    </row>
    <row r="148" spans="1:16" s="1" customFormat="1">
      <c r="A148" s="28"/>
      <c r="B148" s="39" t="s">
        <v>42</v>
      </c>
      <c r="C148" s="24">
        <f t="shared" si="56"/>
        <v>41500</v>
      </c>
      <c r="D148" s="30"/>
      <c r="E148" s="30">
        <v>41500</v>
      </c>
      <c r="F148" s="30"/>
      <c r="G148" s="30"/>
      <c r="H148" s="31"/>
      <c r="I148" s="31"/>
      <c r="J148" s="31"/>
      <c r="K148" s="31"/>
      <c r="L148" s="24">
        <f t="shared" si="57"/>
        <v>0</v>
      </c>
      <c r="M148" s="30"/>
      <c r="N148" s="30"/>
      <c r="O148" s="30"/>
      <c r="P148" s="30"/>
    </row>
    <row r="149" spans="1:16" s="1" customFormat="1">
      <c r="A149" s="28"/>
      <c r="B149" s="39" t="s">
        <v>43</v>
      </c>
      <c r="C149" s="24">
        <f t="shared" si="56"/>
        <v>0</v>
      </c>
      <c r="D149" s="30"/>
      <c r="E149" s="30"/>
      <c r="F149" s="30"/>
      <c r="G149" s="30"/>
      <c r="H149" s="31"/>
      <c r="I149" s="31"/>
      <c r="J149" s="31"/>
      <c r="K149" s="31"/>
      <c r="L149" s="24">
        <f t="shared" si="57"/>
        <v>0</v>
      </c>
      <c r="M149" s="30"/>
      <c r="N149" s="30"/>
      <c r="O149" s="30"/>
      <c r="P149" s="30"/>
    </row>
    <row r="150" spans="1:16" s="1" customFormat="1">
      <c r="A150" s="28"/>
      <c r="B150" s="39" t="s">
        <v>44</v>
      </c>
      <c r="C150" s="24">
        <f t="shared" si="56"/>
        <v>371546.69</v>
      </c>
      <c r="D150" s="30"/>
      <c r="E150" s="30">
        <f>29859.97+222419.35+16264.3+7020+95983.07</f>
        <v>371546.69</v>
      </c>
      <c r="F150" s="30"/>
      <c r="G150" s="30"/>
      <c r="H150" s="31"/>
      <c r="I150" s="31"/>
      <c r="J150" s="31"/>
      <c r="K150" s="31"/>
      <c r="L150" s="24">
        <f t="shared" si="57"/>
        <v>0</v>
      </c>
      <c r="M150" s="30"/>
      <c r="N150" s="30"/>
      <c r="O150" s="30"/>
      <c r="P150" s="30"/>
    </row>
    <row r="151" spans="1:16" s="1" customFormat="1">
      <c r="A151" s="28"/>
      <c r="B151" s="39" t="s">
        <v>45</v>
      </c>
      <c r="C151" s="24">
        <f t="shared" si="56"/>
        <v>0</v>
      </c>
      <c r="D151" s="30"/>
      <c r="E151" s="30"/>
      <c r="F151" s="30"/>
      <c r="G151" s="30"/>
      <c r="H151" s="31"/>
      <c r="I151" s="31"/>
      <c r="J151" s="31"/>
      <c r="K151" s="31"/>
      <c r="L151" s="24">
        <f t="shared" si="57"/>
        <v>0</v>
      </c>
      <c r="M151" s="30"/>
      <c r="N151" s="30"/>
      <c r="O151" s="30"/>
      <c r="P151" s="30"/>
    </row>
    <row r="152" spans="1:16" s="1" customFormat="1" ht="30">
      <c r="A152" s="28"/>
      <c r="B152" s="39" t="s">
        <v>46</v>
      </c>
      <c r="C152" s="24">
        <f t="shared" si="56"/>
        <v>0</v>
      </c>
      <c r="D152" s="30"/>
      <c r="E152" s="30"/>
      <c r="F152" s="30"/>
      <c r="G152" s="30"/>
      <c r="H152" s="31"/>
      <c r="I152" s="31"/>
      <c r="J152" s="31"/>
      <c r="K152" s="31"/>
      <c r="L152" s="24">
        <f t="shared" si="57"/>
        <v>0</v>
      </c>
      <c r="M152" s="30"/>
      <c r="N152" s="30"/>
      <c r="O152" s="30"/>
      <c r="P152" s="30"/>
    </row>
    <row r="153" spans="1:16" s="1" customFormat="1">
      <c r="A153" s="28"/>
      <c r="B153" s="39" t="s">
        <v>47</v>
      </c>
      <c r="C153" s="24">
        <f t="shared" si="56"/>
        <v>166063</v>
      </c>
      <c r="D153" s="30"/>
      <c r="E153" s="30">
        <f>61589+3600+46443+6503+21965+25963</f>
        <v>166063</v>
      </c>
      <c r="F153" s="30"/>
      <c r="G153" s="30"/>
      <c r="H153" s="31"/>
      <c r="I153" s="31"/>
      <c r="J153" s="31"/>
      <c r="K153" s="31"/>
      <c r="L153" s="24">
        <f t="shared" si="57"/>
        <v>0</v>
      </c>
      <c r="M153" s="30"/>
      <c r="N153" s="30"/>
      <c r="O153" s="30"/>
      <c r="P153" s="30"/>
    </row>
    <row r="154" spans="1:16" s="1" customFormat="1">
      <c r="A154" s="48"/>
      <c r="B154" s="49"/>
      <c r="C154" s="20"/>
      <c r="D154" s="20"/>
      <c r="E154" s="20"/>
      <c r="F154" s="20"/>
      <c r="G154" s="20"/>
      <c r="H154" s="221" t="s">
        <v>8</v>
      </c>
      <c r="I154" s="222"/>
      <c r="J154" s="223"/>
      <c r="K154" s="11"/>
      <c r="L154" s="20"/>
      <c r="M154" s="20"/>
      <c r="N154" s="20"/>
      <c r="O154" s="20"/>
      <c r="P154" s="20"/>
    </row>
    <row r="155" spans="1:16" s="1" customFormat="1" ht="36.75" customHeight="1">
      <c r="A155" s="211" t="s">
        <v>3</v>
      </c>
      <c r="B155" s="213" t="s">
        <v>4</v>
      </c>
      <c r="C155" s="213" t="s">
        <v>5</v>
      </c>
      <c r="D155" s="10" t="s">
        <v>6</v>
      </c>
      <c r="E155" s="215" t="s">
        <v>7</v>
      </c>
      <c r="F155" s="216"/>
      <c r="G155" s="217"/>
      <c r="H155" s="218" t="s">
        <v>8</v>
      </c>
      <c r="I155" s="218"/>
      <c r="J155" s="218"/>
      <c r="K155" s="11"/>
      <c r="L155" s="219" t="s">
        <v>9</v>
      </c>
      <c r="M155" s="12" t="s">
        <v>6</v>
      </c>
      <c r="N155" s="208" t="s">
        <v>10</v>
      </c>
      <c r="O155" s="209"/>
      <c r="P155" s="210"/>
    </row>
    <row r="156" spans="1:16" s="1" customFormat="1" ht="47.25" customHeight="1">
      <c r="A156" s="212"/>
      <c r="B156" s="214"/>
      <c r="C156" s="214"/>
      <c r="D156" s="13" t="s">
        <v>11</v>
      </c>
      <c r="E156" s="13" t="s">
        <v>12</v>
      </c>
      <c r="F156" s="13" t="s">
        <v>13</v>
      </c>
      <c r="G156" s="13" t="s">
        <v>14</v>
      </c>
      <c r="H156" s="14" t="s">
        <v>15</v>
      </c>
      <c r="I156" s="14" t="s">
        <v>16</v>
      </c>
      <c r="J156" s="14" t="s">
        <v>17</v>
      </c>
      <c r="K156" s="14" t="s">
        <v>18</v>
      </c>
      <c r="L156" s="220"/>
      <c r="M156" s="15" t="s">
        <v>11</v>
      </c>
      <c r="N156" s="15" t="s">
        <v>12</v>
      </c>
      <c r="O156" s="15" t="s">
        <v>13</v>
      </c>
      <c r="P156" s="15" t="s">
        <v>14</v>
      </c>
    </row>
    <row r="157" spans="1:16" s="1" customFormat="1">
      <c r="A157" s="45">
        <v>6</v>
      </c>
      <c r="B157" s="50" t="s">
        <v>52</v>
      </c>
      <c r="C157" s="46">
        <f t="shared" ref="C157:G157" si="58">C158+C159+C160+C161+C162+C163+C164+C165+C170+C171+C172+C173+C174+C175+C176+C177</f>
        <v>1489854.0999999999</v>
      </c>
      <c r="D157" s="46">
        <f t="shared" si="58"/>
        <v>1248644.3599999999</v>
      </c>
      <c r="E157" s="46">
        <f t="shared" si="58"/>
        <v>549593.71</v>
      </c>
      <c r="F157" s="46">
        <f t="shared" si="58"/>
        <v>771611.69</v>
      </c>
      <c r="G157" s="46">
        <f t="shared" si="58"/>
        <v>168648.7</v>
      </c>
      <c r="H157" s="19"/>
      <c r="I157" s="20"/>
      <c r="J157" s="20"/>
      <c r="K157" s="11"/>
      <c r="L157" s="46">
        <f t="shared" ref="L157:P157" si="59">L158+L159+L160+L161+L162+L163+L164+L165+L170+L171+L172+L173+L174+L175+L176+L177</f>
        <v>0</v>
      </c>
      <c r="M157" s="46">
        <f t="shared" si="59"/>
        <v>1248644.3599999999</v>
      </c>
      <c r="N157" s="46">
        <f t="shared" si="59"/>
        <v>0</v>
      </c>
      <c r="O157" s="46">
        <f t="shared" si="59"/>
        <v>0</v>
      </c>
      <c r="P157" s="46">
        <f t="shared" si="59"/>
        <v>0</v>
      </c>
    </row>
    <row r="158" spans="1:16" s="5" customFormat="1">
      <c r="A158" s="22"/>
      <c r="B158" s="23" t="s">
        <v>20</v>
      </c>
      <c r="C158" s="24">
        <f t="shared" ref="C158:C164" si="60">E158+F158+G158</f>
        <v>742695.90999999992</v>
      </c>
      <c r="D158" s="25"/>
      <c r="E158" s="25"/>
      <c r="F158" s="25">
        <v>574047.21</v>
      </c>
      <c r="G158" s="25">
        <v>168648.7</v>
      </c>
      <c r="H158" s="26"/>
      <c r="I158" s="24"/>
      <c r="J158" s="24"/>
      <c r="K158" s="27"/>
      <c r="L158" s="24">
        <f t="shared" ref="L158:L164" si="61">N158+O158+P158</f>
        <v>0</v>
      </c>
      <c r="M158" s="25"/>
      <c r="N158" s="25"/>
      <c r="O158" s="25"/>
      <c r="P158" s="25"/>
    </row>
    <row r="159" spans="1:16" s="1" customFormat="1">
      <c r="A159" s="28"/>
      <c r="B159" s="29" t="s">
        <v>21</v>
      </c>
      <c r="C159" s="24">
        <f t="shared" si="60"/>
        <v>0</v>
      </c>
      <c r="D159" s="30">
        <f>24445.02</f>
        <v>24445.02</v>
      </c>
      <c r="E159" s="30"/>
      <c r="F159" s="30"/>
      <c r="G159" s="30"/>
      <c r="H159" s="31"/>
      <c r="I159" s="31"/>
      <c r="J159" s="31"/>
      <c r="K159" s="31"/>
      <c r="L159" s="24">
        <f t="shared" si="61"/>
        <v>0</v>
      </c>
      <c r="M159" s="30">
        <f>24445.02</f>
        <v>24445.02</v>
      </c>
      <c r="N159" s="30"/>
      <c r="O159" s="30"/>
      <c r="P159" s="30"/>
    </row>
    <row r="160" spans="1:16" s="1" customFormat="1">
      <c r="A160" s="28"/>
      <c r="B160" s="32" t="s">
        <v>22</v>
      </c>
      <c r="C160" s="24">
        <f t="shared" si="60"/>
        <v>0</v>
      </c>
      <c r="D160" s="30">
        <v>4545</v>
      </c>
      <c r="E160" s="30"/>
      <c r="F160" s="30"/>
      <c r="G160" s="30"/>
      <c r="H160" s="31"/>
      <c r="I160" s="31"/>
      <c r="J160" s="31"/>
      <c r="K160" s="31"/>
      <c r="L160" s="24">
        <f t="shared" si="61"/>
        <v>0</v>
      </c>
      <c r="M160" s="30">
        <v>4545</v>
      </c>
      <c r="N160" s="30"/>
      <c r="O160" s="30"/>
      <c r="P160" s="30"/>
    </row>
    <row r="161" spans="1:16" s="1" customFormat="1">
      <c r="A161" s="28"/>
      <c r="B161" s="32" t="s">
        <v>23</v>
      </c>
      <c r="C161" s="24">
        <f t="shared" si="60"/>
        <v>259373.22</v>
      </c>
      <c r="D161" s="30"/>
      <c r="E161" s="30">
        <v>259373.22</v>
      </c>
      <c r="F161" s="30"/>
      <c r="G161" s="30"/>
      <c r="H161" s="31"/>
      <c r="I161" s="31"/>
      <c r="J161" s="31"/>
      <c r="K161" s="31"/>
      <c r="L161" s="24">
        <f t="shared" si="61"/>
        <v>0</v>
      </c>
      <c r="M161" s="30"/>
      <c r="N161" s="30"/>
      <c r="O161" s="30"/>
      <c r="P161" s="30"/>
    </row>
    <row r="162" spans="1:16" s="1" customFormat="1">
      <c r="A162" s="28"/>
      <c r="B162" s="29" t="s">
        <v>24</v>
      </c>
      <c r="C162" s="24">
        <f t="shared" si="60"/>
        <v>0</v>
      </c>
      <c r="D162" s="30">
        <f>4544.65+45876.53+98134.69+168594.93</f>
        <v>317150.8</v>
      </c>
      <c r="E162" s="30"/>
      <c r="F162" s="30"/>
      <c r="G162" s="30"/>
      <c r="H162" s="31"/>
      <c r="I162" s="31"/>
      <c r="J162" s="31"/>
      <c r="K162" s="31"/>
      <c r="L162" s="24">
        <f t="shared" si="61"/>
        <v>0</v>
      </c>
      <c r="M162" s="30">
        <f>4544.65+45876.53+98134.69+168594.93</f>
        <v>317150.8</v>
      </c>
      <c r="N162" s="30"/>
      <c r="O162" s="30"/>
      <c r="P162" s="30"/>
    </row>
    <row r="163" spans="1:16" s="1" customFormat="1">
      <c r="A163" s="28"/>
      <c r="B163" s="34" t="s">
        <v>25</v>
      </c>
      <c r="C163" s="24">
        <f t="shared" si="60"/>
        <v>3415.84</v>
      </c>
      <c r="D163" s="30">
        <v>45199.73</v>
      </c>
      <c r="E163" s="30">
        <v>3415.84</v>
      </c>
      <c r="F163" s="30"/>
      <c r="G163" s="30"/>
      <c r="H163" s="31"/>
      <c r="I163" s="31"/>
      <c r="J163" s="31"/>
      <c r="K163" s="31"/>
      <c r="L163" s="24">
        <f t="shared" si="61"/>
        <v>0</v>
      </c>
      <c r="M163" s="30">
        <v>45199.73</v>
      </c>
      <c r="N163" s="30"/>
      <c r="O163" s="30"/>
      <c r="P163" s="30"/>
    </row>
    <row r="164" spans="1:16" s="1" customFormat="1">
      <c r="A164" s="28"/>
      <c r="B164" s="32" t="s">
        <v>26</v>
      </c>
      <c r="C164" s="24">
        <f t="shared" si="60"/>
        <v>0</v>
      </c>
      <c r="D164" s="30"/>
      <c r="E164" s="30"/>
      <c r="F164" s="30"/>
      <c r="G164" s="30"/>
      <c r="H164" s="31"/>
      <c r="I164" s="31"/>
      <c r="J164" s="31"/>
      <c r="K164" s="31"/>
      <c r="L164" s="24">
        <f t="shared" si="61"/>
        <v>0</v>
      </c>
      <c r="M164" s="30"/>
      <c r="N164" s="30"/>
      <c r="O164" s="30"/>
      <c r="P164" s="30"/>
    </row>
    <row r="165" spans="1:16" s="1" customFormat="1" ht="30">
      <c r="A165" s="28"/>
      <c r="B165" s="35" t="s">
        <v>27</v>
      </c>
      <c r="C165" s="36">
        <f t="shared" ref="C165:G165" si="62">SUM(C166:C169)</f>
        <v>263888.62</v>
      </c>
      <c r="D165" s="36">
        <f t="shared" si="62"/>
        <v>70105.680000000008</v>
      </c>
      <c r="E165" s="36">
        <f t="shared" si="62"/>
        <v>263888.62</v>
      </c>
      <c r="F165" s="36">
        <f t="shared" si="62"/>
        <v>0</v>
      </c>
      <c r="G165" s="36">
        <f t="shared" si="62"/>
        <v>0</v>
      </c>
      <c r="H165" s="31"/>
      <c r="I165" s="31"/>
      <c r="J165" s="31"/>
      <c r="K165" s="31"/>
      <c r="L165" s="36">
        <f t="shared" ref="L165:P165" si="63">SUM(L166:L169)</f>
        <v>0</v>
      </c>
      <c r="M165" s="36">
        <f t="shared" si="63"/>
        <v>70105.680000000008</v>
      </c>
      <c r="N165" s="36">
        <f t="shared" si="63"/>
        <v>0</v>
      </c>
      <c r="O165" s="36">
        <f t="shared" si="63"/>
        <v>0</v>
      </c>
      <c r="P165" s="36">
        <f t="shared" si="63"/>
        <v>0</v>
      </c>
    </row>
    <row r="166" spans="1:16" s="1" customFormat="1">
      <c r="A166" s="28"/>
      <c r="B166" s="38" t="s">
        <v>28</v>
      </c>
      <c r="C166" s="24">
        <f t="shared" ref="C166:C176" si="64">E166+F166+G166</f>
        <v>212497.3</v>
      </c>
      <c r="D166" s="30"/>
      <c r="E166" s="30">
        <v>212497.3</v>
      </c>
      <c r="F166" s="30"/>
      <c r="G166" s="30"/>
      <c r="H166" s="31"/>
      <c r="I166" s="31"/>
      <c r="J166" s="31"/>
      <c r="K166" s="31"/>
      <c r="L166" s="24">
        <f t="shared" ref="L166:L176" si="65">N166+O166+P166</f>
        <v>0</v>
      </c>
      <c r="M166" s="30"/>
      <c r="N166" s="30"/>
      <c r="O166" s="30"/>
      <c r="P166" s="30"/>
    </row>
    <row r="167" spans="1:16" s="1" customFormat="1">
      <c r="A167" s="28"/>
      <c r="B167" s="38" t="s">
        <v>29</v>
      </c>
      <c r="C167" s="24">
        <f t="shared" si="64"/>
        <v>26670.69</v>
      </c>
      <c r="D167" s="30">
        <v>12676.63</v>
      </c>
      <c r="E167" s="30">
        <v>26670.69</v>
      </c>
      <c r="F167" s="30"/>
      <c r="G167" s="30"/>
      <c r="H167" s="31"/>
      <c r="I167" s="31"/>
      <c r="J167" s="31"/>
      <c r="K167" s="31"/>
      <c r="L167" s="24">
        <f t="shared" si="65"/>
        <v>0</v>
      </c>
      <c r="M167" s="30">
        <v>12676.63</v>
      </c>
      <c r="N167" s="30"/>
      <c r="O167" s="30"/>
      <c r="P167" s="30"/>
    </row>
    <row r="168" spans="1:16" s="1" customFormat="1">
      <c r="A168" s="28"/>
      <c r="B168" s="38" t="s">
        <v>30</v>
      </c>
      <c r="C168" s="24">
        <f t="shared" si="64"/>
        <v>2589.91</v>
      </c>
      <c r="D168" s="30">
        <v>57429.05</v>
      </c>
      <c r="E168" s="30">
        <v>2589.91</v>
      </c>
      <c r="F168" s="30"/>
      <c r="G168" s="30"/>
      <c r="H168" s="31"/>
      <c r="I168" s="31"/>
      <c r="J168" s="31"/>
      <c r="K168" s="31"/>
      <c r="L168" s="24">
        <f t="shared" si="65"/>
        <v>0</v>
      </c>
      <c r="M168" s="30">
        <v>57429.05</v>
      </c>
      <c r="N168" s="30"/>
      <c r="O168" s="30"/>
      <c r="P168" s="30"/>
    </row>
    <row r="169" spans="1:16" s="1" customFormat="1">
      <c r="A169" s="28"/>
      <c r="B169" s="38" t="s">
        <v>31</v>
      </c>
      <c r="C169" s="24">
        <f t="shared" si="64"/>
        <v>22130.720000000001</v>
      </c>
      <c r="D169" s="30"/>
      <c r="E169" s="30">
        <v>22130.720000000001</v>
      </c>
      <c r="F169" s="30"/>
      <c r="G169" s="30"/>
      <c r="H169" s="31"/>
      <c r="I169" s="31"/>
      <c r="J169" s="31"/>
      <c r="K169" s="31"/>
      <c r="L169" s="24">
        <f t="shared" si="65"/>
        <v>0</v>
      </c>
      <c r="M169" s="30"/>
      <c r="N169" s="30"/>
      <c r="O169" s="30"/>
      <c r="P169" s="30"/>
    </row>
    <row r="170" spans="1:16" s="1" customFormat="1" ht="30">
      <c r="A170" s="28"/>
      <c r="B170" s="39" t="s">
        <v>32</v>
      </c>
      <c r="C170" s="24">
        <f t="shared" si="64"/>
        <v>0</v>
      </c>
      <c r="D170" s="30"/>
      <c r="E170" s="30"/>
      <c r="F170" s="30"/>
      <c r="G170" s="30"/>
      <c r="H170" s="31"/>
      <c r="I170" s="31"/>
      <c r="J170" s="31"/>
      <c r="K170" s="31"/>
      <c r="L170" s="24">
        <f t="shared" si="65"/>
        <v>0</v>
      </c>
      <c r="M170" s="30"/>
      <c r="N170" s="30"/>
      <c r="O170" s="30"/>
      <c r="P170" s="30"/>
    </row>
    <row r="171" spans="1:16" s="1" customFormat="1" ht="30">
      <c r="A171" s="28"/>
      <c r="B171" s="39" t="s">
        <v>33</v>
      </c>
      <c r="C171" s="24">
        <f t="shared" si="64"/>
        <v>0</v>
      </c>
      <c r="D171" s="30">
        <f>20370.47</f>
        <v>20370.47</v>
      </c>
      <c r="E171" s="30"/>
      <c r="F171" s="30"/>
      <c r="G171" s="30"/>
      <c r="H171" s="31"/>
      <c r="I171" s="31"/>
      <c r="J171" s="31"/>
      <c r="K171" s="31"/>
      <c r="L171" s="24">
        <f t="shared" si="65"/>
        <v>0</v>
      </c>
      <c r="M171" s="30">
        <f>20370.47</f>
        <v>20370.47</v>
      </c>
      <c r="N171" s="30"/>
      <c r="O171" s="30"/>
      <c r="P171" s="30"/>
    </row>
    <row r="172" spans="1:16" s="1" customFormat="1" ht="30">
      <c r="A172" s="28"/>
      <c r="B172" s="40" t="s">
        <v>34</v>
      </c>
      <c r="C172" s="24">
        <f t="shared" si="64"/>
        <v>0</v>
      </c>
      <c r="D172" s="30"/>
      <c r="E172" s="30"/>
      <c r="F172" s="30"/>
      <c r="G172" s="30"/>
      <c r="H172" s="31"/>
      <c r="I172" s="31"/>
      <c r="J172" s="31"/>
      <c r="K172" s="31"/>
      <c r="L172" s="24">
        <f t="shared" si="65"/>
        <v>0</v>
      </c>
      <c r="M172" s="30"/>
      <c r="N172" s="30"/>
      <c r="O172" s="30"/>
      <c r="P172" s="30"/>
    </row>
    <row r="173" spans="1:16" s="1" customFormat="1">
      <c r="A173" s="28"/>
      <c r="B173" s="40" t="s">
        <v>35</v>
      </c>
      <c r="C173" s="24">
        <f t="shared" si="64"/>
        <v>24106.03</v>
      </c>
      <c r="D173" s="30">
        <f>17840+4689.95+9888</f>
        <v>32417.95</v>
      </c>
      <c r="E173" s="30">
        <f>3816+19100+0.03</f>
        <v>22916.03</v>
      </c>
      <c r="F173" s="30">
        <f>1190</f>
        <v>1190</v>
      </c>
      <c r="G173" s="30"/>
      <c r="H173" s="31"/>
      <c r="I173" s="31"/>
      <c r="J173" s="31"/>
      <c r="K173" s="31"/>
      <c r="L173" s="24">
        <f t="shared" si="65"/>
        <v>0</v>
      </c>
      <c r="M173" s="30">
        <f>17840+4689.95+9888</f>
        <v>32417.95</v>
      </c>
      <c r="N173" s="30"/>
      <c r="O173" s="30"/>
      <c r="P173" s="30"/>
    </row>
    <row r="174" spans="1:16" s="1" customFormat="1" ht="30">
      <c r="A174" s="28"/>
      <c r="B174" s="41" t="s">
        <v>36</v>
      </c>
      <c r="C174" s="24">
        <f t="shared" si="64"/>
        <v>0</v>
      </c>
      <c r="D174" s="30"/>
      <c r="E174" s="30"/>
      <c r="F174" s="30"/>
      <c r="G174" s="30"/>
      <c r="H174" s="31"/>
      <c r="I174" s="31"/>
      <c r="J174" s="31"/>
      <c r="K174" s="31"/>
      <c r="L174" s="24">
        <f t="shared" si="65"/>
        <v>0</v>
      </c>
      <c r="M174" s="30"/>
      <c r="N174" s="30"/>
      <c r="O174" s="30"/>
      <c r="P174" s="30"/>
    </row>
    <row r="175" spans="1:16" s="1" customFormat="1">
      <c r="A175" s="28"/>
      <c r="B175" s="42" t="s">
        <v>37</v>
      </c>
      <c r="C175" s="24">
        <f t="shared" si="64"/>
        <v>0</v>
      </c>
      <c r="D175" s="30"/>
      <c r="E175" s="30"/>
      <c r="F175" s="30"/>
      <c r="G175" s="30"/>
      <c r="H175" s="31"/>
      <c r="I175" s="31"/>
      <c r="J175" s="31"/>
      <c r="K175" s="31"/>
      <c r="L175" s="24">
        <f t="shared" si="65"/>
        <v>0</v>
      </c>
      <c r="M175" s="30"/>
      <c r="N175" s="30"/>
      <c r="O175" s="30"/>
      <c r="P175" s="30"/>
    </row>
    <row r="176" spans="1:16" s="1" customFormat="1" ht="30">
      <c r="A176" s="28"/>
      <c r="B176" s="42" t="s">
        <v>38</v>
      </c>
      <c r="C176" s="24">
        <f t="shared" si="64"/>
        <v>0</v>
      </c>
      <c r="D176" s="30">
        <f>40700+19990+62510+60200+186988+6645+217397</f>
        <v>594430</v>
      </c>
      <c r="E176" s="30"/>
      <c r="F176" s="30"/>
      <c r="G176" s="30"/>
      <c r="H176" s="31"/>
      <c r="I176" s="31"/>
      <c r="J176" s="31"/>
      <c r="K176" s="31"/>
      <c r="L176" s="24">
        <f t="shared" si="65"/>
        <v>0</v>
      </c>
      <c r="M176" s="30">
        <f>40700+19990+62510+60200+186988+6645+217397</f>
        <v>594430</v>
      </c>
      <c r="N176" s="30"/>
      <c r="O176" s="30"/>
      <c r="P176" s="30"/>
    </row>
    <row r="177" spans="1:16" s="1" customFormat="1" ht="30">
      <c r="A177" s="28"/>
      <c r="B177" s="43" t="s">
        <v>39</v>
      </c>
      <c r="C177" s="36">
        <f t="shared" ref="C177:G177" si="66">SUM(C178:C184)</f>
        <v>196374.48</v>
      </c>
      <c r="D177" s="36">
        <f t="shared" si="66"/>
        <v>139979.71</v>
      </c>
      <c r="E177" s="36">
        <f t="shared" si="66"/>
        <v>0</v>
      </c>
      <c r="F177" s="36">
        <f t="shared" si="66"/>
        <v>196374.48</v>
      </c>
      <c r="G177" s="36">
        <f t="shared" si="66"/>
        <v>0</v>
      </c>
      <c r="H177" s="31"/>
      <c r="I177" s="31"/>
      <c r="J177" s="31"/>
      <c r="K177" s="31"/>
      <c r="L177" s="36">
        <f t="shared" ref="L177:P177" si="67">SUM(L178:L184)</f>
        <v>0</v>
      </c>
      <c r="M177" s="36">
        <f t="shared" si="67"/>
        <v>139979.71</v>
      </c>
      <c r="N177" s="36">
        <f t="shared" si="67"/>
        <v>0</v>
      </c>
      <c r="O177" s="36">
        <f t="shared" si="67"/>
        <v>0</v>
      </c>
      <c r="P177" s="36">
        <f t="shared" si="67"/>
        <v>0</v>
      </c>
    </row>
    <row r="178" spans="1:16" s="1" customFormat="1" ht="30">
      <c r="A178" s="28" t="s">
        <v>40</v>
      </c>
      <c r="B178" s="39" t="s">
        <v>41</v>
      </c>
      <c r="C178" s="24">
        <f t="shared" ref="C178:C184" si="68">E178+F178+G178</f>
        <v>0</v>
      </c>
      <c r="D178" s="30"/>
      <c r="E178" s="30"/>
      <c r="F178" s="30"/>
      <c r="G178" s="30"/>
      <c r="H178" s="31"/>
      <c r="I178" s="31"/>
      <c r="J178" s="31"/>
      <c r="K178" s="31"/>
      <c r="L178" s="24">
        <f t="shared" ref="L178:L184" si="69">N178+O178+P178</f>
        <v>0</v>
      </c>
      <c r="M178" s="30"/>
      <c r="N178" s="30"/>
      <c r="O178" s="30"/>
      <c r="P178" s="30"/>
    </row>
    <row r="179" spans="1:16" s="1" customFormat="1">
      <c r="A179" s="28"/>
      <c r="B179" s="39" t="s">
        <v>42</v>
      </c>
      <c r="C179" s="24">
        <f t="shared" si="68"/>
        <v>0</v>
      </c>
      <c r="D179" s="30"/>
      <c r="E179" s="30"/>
      <c r="F179" s="30"/>
      <c r="G179" s="30"/>
      <c r="H179" s="31"/>
      <c r="I179" s="31"/>
      <c r="J179" s="31"/>
      <c r="K179" s="31"/>
      <c r="L179" s="24">
        <f t="shared" si="69"/>
        <v>0</v>
      </c>
      <c r="M179" s="30"/>
      <c r="N179" s="30"/>
      <c r="O179" s="30"/>
      <c r="P179" s="30"/>
    </row>
    <row r="180" spans="1:16" s="1" customFormat="1">
      <c r="A180" s="28"/>
      <c r="B180" s="39" t="s">
        <v>43</v>
      </c>
      <c r="C180" s="24">
        <f t="shared" si="68"/>
        <v>0</v>
      </c>
      <c r="D180" s="30"/>
      <c r="E180" s="30"/>
      <c r="F180" s="30"/>
      <c r="G180" s="30"/>
      <c r="H180" s="31"/>
      <c r="I180" s="31"/>
      <c r="J180" s="31"/>
      <c r="K180" s="31"/>
      <c r="L180" s="24">
        <f t="shared" si="69"/>
        <v>0</v>
      </c>
      <c r="M180" s="30"/>
      <c r="N180" s="30"/>
      <c r="O180" s="30"/>
      <c r="P180" s="30"/>
    </row>
    <row r="181" spans="1:16" s="1" customFormat="1">
      <c r="A181" s="28"/>
      <c r="B181" s="39" t="s">
        <v>44</v>
      </c>
      <c r="C181" s="24">
        <f t="shared" si="68"/>
        <v>196374.48</v>
      </c>
      <c r="D181" s="30">
        <f>7226.71</f>
        <v>7226.71</v>
      </c>
      <c r="E181" s="30"/>
      <c r="F181" s="30">
        <f>133213.8+568+8522.2+54070.48</f>
        <v>196374.48</v>
      </c>
      <c r="G181" s="30"/>
      <c r="H181" s="31"/>
      <c r="I181" s="31"/>
      <c r="J181" s="31"/>
      <c r="K181" s="31"/>
      <c r="L181" s="24">
        <f t="shared" si="69"/>
        <v>0</v>
      </c>
      <c r="M181" s="30">
        <f>7226.71</f>
        <v>7226.71</v>
      </c>
      <c r="N181" s="30"/>
      <c r="O181" s="30"/>
      <c r="P181" s="30"/>
    </row>
    <row r="182" spans="1:16" s="1" customFormat="1">
      <c r="A182" s="28"/>
      <c r="B182" s="39" t="s">
        <v>45</v>
      </c>
      <c r="C182" s="24">
        <f t="shared" si="68"/>
        <v>0</v>
      </c>
      <c r="D182" s="30"/>
      <c r="E182" s="30"/>
      <c r="F182" s="30"/>
      <c r="G182" s="30"/>
      <c r="H182" s="31"/>
      <c r="I182" s="31"/>
      <c r="J182" s="31"/>
      <c r="K182" s="31"/>
      <c r="L182" s="24">
        <f t="shared" si="69"/>
        <v>0</v>
      </c>
      <c r="M182" s="30"/>
      <c r="N182" s="30"/>
      <c r="O182" s="30"/>
      <c r="P182" s="30"/>
    </row>
    <row r="183" spans="1:16" s="1" customFormat="1" ht="30">
      <c r="A183" s="28"/>
      <c r="B183" s="39" t="s">
        <v>46</v>
      </c>
      <c r="C183" s="24">
        <f t="shared" si="68"/>
        <v>0</v>
      </c>
      <c r="D183" s="30"/>
      <c r="E183" s="30"/>
      <c r="F183" s="30"/>
      <c r="G183" s="30"/>
      <c r="H183" s="31"/>
      <c r="I183" s="31"/>
      <c r="J183" s="31"/>
      <c r="K183" s="31"/>
      <c r="L183" s="24">
        <f t="shared" si="69"/>
        <v>0</v>
      </c>
      <c r="M183" s="30"/>
      <c r="N183" s="30"/>
      <c r="O183" s="30"/>
      <c r="P183" s="30"/>
    </row>
    <row r="184" spans="1:16" s="1" customFormat="1">
      <c r="A184" s="28"/>
      <c r="B184" s="39" t="s">
        <v>47</v>
      </c>
      <c r="C184" s="24">
        <f t="shared" si="68"/>
        <v>0</v>
      </c>
      <c r="D184" s="30">
        <f>4200+54133+46510+27910</f>
        <v>132753</v>
      </c>
      <c r="E184" s="30"/>
      <c r="F184" s="30"/>
      <c r="G184" s="30"/>
      <c r="H184" s="31"/>
      <c r="I184" s="31"/>
      <c r="J184" s="31"/>
      <c r="K184" s="31"/>
      <c r="L184" s="24">
        <f t="shared" si="69"/>
        <v>0</v>
      </c>
      <c r="M184" s="30">
        <f>4200+54133+46510+27910</f>
        <v>132753</v>
      </c>
      <c r="N184" s="30"/>
      <c r="O184" s="30"/>
      <c r="P184" s="30"/>
    </row>
    <row r="185" spans="1:16" s="1" customFormat="1" ht="36.75" customHeight="1">
      <c r="A185" s="211" t="s">
        <v>3</v>
      </c>
      <c r="B185" s="213" t="s">
        <v>4</v>
      </c>
      <c r="C185" s="213" t="s">
        <v>5</v>
      </c>
      <c r="D185" s="10" t="s">
        <v>6</v>
      </c>
      <c r="E185" s="215" t="s">
        <v>7</v>
      </c>
      <c r="F185" s="216"/>
      <c r="G185" s="217"/>
      <c r="H185" s="218" t="s">
        <v>8</v>
      </c>
      <c r="I185" s="218"/>
      <c r="J185" s="218"/>
      <c r="K185" s="11"/>
      <c r="L185" s="219" t="s">
        <v>9</v>
      </c>
      <c r="M185" s="12" t="s">
        <v>6</v>
      </c>
      <c r="N185" s="208" t="s">
        <v>10</v>
      </c>
      <c r="O185" s="209"/>
      <c r="P185" s="210"/>
    </row>
    <row r="186" spans="1:16" s="1" customFormat="1" ht="47.25" customHeight="1">
      <c r="A186" s="212"/>
      <c r="B186" s="214"/>
      <c r="C186" s="214"/>
      <c r="D186" s="13" t="s">
        <v>11</v>
      </c>
      <c r="E186" s="13" t="s">
        <v>12</v>
      </c>
      <c r="F186" s="13" t="s">
        <v>13</v>
      </c>
      <c r="G186" s="13" t="s">
        <v>14</v>
      </c>
      <c r="H186" s="14" t="s">
        <v>15</v>
      </c>
      <c r="I186" s="14" t="s">
        <v>16</v>
      </c>
      <c r="J186" s="14" t="s">
        <v>17</v>
      </c>
      <c r="K186" s="14" t="s">
        <v>18</v>
      </c>
      <c r="L186" s="220"/>
      <c r="M186" s="15" t="s">
        <v>11</v>
      </c>
      <c r="N186" s="15" t="s">
        <v>12</v>
      </c>
      <c r="O186" s="15" t="s">
        <v>13</v>
      </c>
      <c r="P186" s="15" t="s">
        <v>14</v>
      </c>
    </row>
    <row r="187" spans="1:16" s="1" customFormat="1">
      <c r="A187" s="16">
        <v>7</v>
      </c>
      <c r="B187" s="17" t="s">
        <v>53</v>
      </c>
      <c r="C187" s="18">
        <f t="shared" ref="C187:G187" si="70">C188+C189+C190+C191+C192+C193+C194+C195+C200+C201+C202+C203+C204+C205+C206+C207</f>
        <v>1177129.47</v>
      </c>
      <c r="D187" s="18">
        <f t="shared" si="70"/>
        <v>1055640.02</v>
      </c>
      <c r="E187" s="18">
        <f t="shared" si="70"/>
        <v>553495.89</v>
      </c>
      <c r="F187" s="18">
        <f t="shared" si="70"/>
        <v>623633.57999999996</v>
      </c>
      <c r="G187" s="18">
        <f t="shared" si="70"/>
        <v>0</v>
      </c>
      <c r="H187" s="19"/>
      <c r="I187" s="20"/>
      <c r="J187" s="20"/>
      <c r="K187" s="11"/>
      <c r="L187" s="18">
        <f t="shared" ref="L187:P187" si="71">L188+L189+L190+L191+L192+L193+L194+L195+L200+L201+L202+L203+L204+L205+L206+L207</f>
        <v>0</v>
      </c>
      <c r="M187" s="18">
        <f t="shared" si="71"/>
        <v>1055640.02</v>
      </c>
      <c r="N187" s="18">
        <f t="shared" si="71"/>
        <v>0</v>
      </c>
      <c r="O187" s="18">
        <f t="shared" si="71"/>
        <v>0</v>
      </c>
      <c r="P187" s="18">
        <f t="shared" si="71"/>
        <v>0</v>
      </c>
    </row>
    <row r="188" spans="1:16" s="1" customFormat="1">
      <c r="A188" s="22"/>
      <c r="B188" s="23" t="s">
        <v>20</v>
      </c>
      <c r="C188" s="24">
        <f t="shared" ref="C188:C194" si="72">E188+F188+G188</f>
        <v>383791.22</v>
      </c>
      <c r="D188" s="25"/>
      <c r="E188" s="25"/>
      <c r="F188" s="25">
        <f>230629.44+153161.78</f>
        <v>383791.22</v>
      </c>
      <c r="G188" s="25"/>
      <c r="H188" s="26"/>
      <c r="I188" s="24"/>
      <c r="J188" s="24"/>
      <c r="K188" s="27"/>
      <c r="L188" s="24">
        <f t="shared" ref="L188:L194" si="73">N188+O188+P188</f>
        <v>0</v>
      </c>
      <c r="M188" s="25"/>
      <c r="N188" s="25"/>
      <c r="O188" s="25"/>
      <c r="P188" s="25"/>
    </row>
    <row r="189" spans="1:16" s="1" customFormat="1">
      <c r="A189" s="28"/>
      <c r="B189" s="29" t="s">
        <v>21</v>
      </c>
      <c r="C189" s="24">
        <f t="shared" si="72"/>
        <v>0</v>
      </c>
      <c r="D189" s="30">
        <v>4769.8100000000004</v>
      </c>
      <c r="E189" s="30"/>
      <c r="F189" s="30"/>
      <c r="G189" s="30"/>
      <c r="H189" s="31"/>
      <c r="I189" s="31"/>
      <c r="J189" s="31"/>
      <c r="K189" s="31"/>
      <c r="L189" s="24">
        <f t="shared" si="73"/>
        <v>0</v>
      </c>
      <c r="M189" s="30">
        <v>4769.8100000000004</v>
      </c>
      <c r="N189" s="30"/>
      <c r="O189" s="30"/>
      <c r="P189" s="30"/>
    </row>
    <row r="190" spans="1:16" s="1" customFormat="1">
      <c r="A190" s="28"/>
      <c r="B190" s="32" t="s">
        <v>22</v>
      </c>
      <c r="C190" s="24">
        <f t="shared" si="72"/>
        <v>0</v>
      </c>
      <c r="D190" s="30"/>
      <c r="E190" s="30"/>
      <c r="F190" s="30"/>
      <c r="G190" s="30"/>
      <c r="H190" s="31"/>
      <c r="I190" s="31"/>
      <c r="J190" s="31"/>
      <c r="K190" s="31"/>
      <c r="L190" s="24">
        <f t="shared" si="73"/>
        <v>0</v>
      </c>
      <c r="M190" s="30"/>
      <c r="N190" s="30"/>
      <c r="O190" s="30"/>
      <c r="P190" s="30"/>
    </row>
    <row r="191" spans="1:16" s="1" customFormat="1">
      <c r="A191" s="28"/>
      <c r="B191" s="32" t="s">
        <v>23</v>
      </c>
      <c r="C191" s="24">
        <f t="shared" si="72"/>
        <v>0</v>
      </c>
      <c r="D191" s="51">
        <v>40487.599999999999</v>
      </c>
      <c r="E191" s="30"/>
      <c r="F191" s="30"/>
      <c r="G191" s="30"/>
      <c r="H191" s="31"/>
      <c r="I191" s="31"/>
      <c r="J191" s="31"/>
      <c r="K191" s="31"/>
      <c r="L191" s="24">
        <f t="shared" si="73"/>
        <v>0</v>
      </c>
      <c r="M191" s="51">
        <v>40487.599999999999</v>
      </c>
      <c r="N191" s="30"/>
      <c r="O191" s="30"/>
      <c r="P191" s="30"/>
    </row>
    <row r="192" spans="1:16" s="1" customFormat="1">
      <c r="A192" s="28"/>
      <c r="B192" s="29" t="s">
        <v>24</v>
      </c>
      <c r="C192" s="24">
        <f t="shared" si="72"/>
        <v>0</v>
      </c>
      <c r="D192" s="30">
        <f>25055.78+5342.59+53618.02+565.49+104968.17+2386.49</f>
        <v>191936.53999999998</v>
      </c>
      <c r="E192" s="30"/>
      <c r="F192" s="30"/>
      <c r="G192" s="30"/>
      <c r="H192" s="31"/>
      <c r="I192" s="31"/>
      <c r="J192" s="31"/>
      <c r="K192" s="31"/>
      <c r="L192" s="24">
        <f t="shared" si="73"/>
        <v>0</v>
      </c>
      <c r="M192" s="30">
        <f>25055.78+5342.59+53618.02+565.49+104968.17+2386.49</f>
        <v>191936.53999999998</v>
      </c>
      <c r="N192" s="30"/>
      <c r="O192" s="30"/>
      <c r="P192" s="30"/>
    </row>
    <row r="193" spans="1:16" s="1" customFormat="1">
      <c r="A193" s="28"/>
      <c r="B193" s="34" t="s">
        <v>25</v>
      </c>
      <c r="C193" s="24">
        <f t="shared" si="72"/>
        <v>0</v>
      </c>
      <c r="D193" s="51">
        <v>21318.02</v>
      </c>
      <c r="E193" s="30"/>
      <c r="F193" s="30"/>
      <c r="G193" s="30"/>
      <c r="H193" s="31"/>
      <c r="I193" s="31"/>
      <c r="J193" s="31"/>
      <c r="K193" s="31"/>
      <c r="L193" s="24">
        <f t="shared" si="73"/>
        <v>0</v>
      </c>
      <c r="M193" s="51">
        <v>21318.02</v>
      </c>
      <c r="N193" s="30"/>
      <c r="O193" s="30"/>
      <c r="P193" s="30"/>
    </row>
    <row r="194" spans="1:16" s="1" customFormat="1">
      <c r="A194" s="28"/>
      <c r="B194" s="32" t="s">
        <v>26</v>
      </c>
      <c r="C194" s="24">
        <f t="shared" si="72"/>
        <v>0</v>
      </c>
      <c r="D194" s="30"/>
      <c r="E194" s="30"/>
      <c r="F194" s="30"/>
      <c r="G194" s="30"/>
      <c r="H194" s="31"/>
      <c r="I194" s="31"/>
      <c r="J194" s="31"/>
      <c r="K194" s="31"/>
      <c r="L194" s="24">
        <f t="shared" si="73"/>
        <v>0</v>
      </c>
      <c r="M194" s="30"/>
      <c r="N194" s="30"/>
      <c r="O194" s="30"/>
      <c r="P194" s="30"/>
    </row>
    <row r="195" spans="1:16" s="1" customFormat="1" ht="30">
      <c r="A195" s="28"/>
      <c r="B195" s="35" t="s">
        <v>27</v>
      </c>
      <c r="C195" s="36">
        <f t="shared" ref="C195:G195" si="74">SUM(C196:C199)</f>
        <v>55071.42</v>
      </c>
      <c r="D195" s="36">
        <f t="shared" si="74"/>
        <v>0</v>
      </c>
      <c r="E195" s="36">
        <f t="shared" si="74"/>
        <v>55071.42</v>
      </c>
      <c r="F195" s="36">
        <f t="shared" si="74"/>
        <v>0</v>
      </c>
      <c r="G195" s="36">
        <f t="shared" si="74"/>
        <v>0</v>
      </c>
      <c r="H195" s="31"/>
      <c r="I195" s="31"/>
      <c r="J195" s="31"/>
      <c r="K195" s="31"/>
      <c r="L195" s="36">
        <f t="shared" ref="L195:P195" si="75">SUM(L196:L199)</f>
        <v>0</v>
      </c>
      <c r="M195" s="36">
        <f t="shared" si="75"/>
        <v>0</v>
      </c>
      <c r="N195" s="36">
        <f t="shared" si="75"/>
        <v>0</v>
      </c>
      <c r="O195" s="36">
        <f t="shared" si="75"/>
        <v>0</v>
      </c>
      <c r="P195" s="36">
        <f t="shared" si="75"/>
        <v>0</v>
      </c>
    </row>
    <row r="196" spans="1:16" s="1" customFormat="1">
      <c r="A196" s="28"/>
      <c r="B196" s="38" t="s">
        <v>28</v>
      </c>
      <c r="C196" s="24">
        <f t="shared" ref="C196:C206" si="76">E196+F196+G196</f>
        <v>41425.1</v>
      </c>
      <c r="D196" s="30"/>
      <c r="E196" s="30">
        <v>41425.1</v>
      </c>
      <c r="F196" s="30"/>
      <c r="G196" s="30"/>
      <c r="H196" s="31"/>
      <c r="I196" s="31"/>
      <c r="J196" s="31"/>
      <c r="K196" s="31"/>
      <c r="L196" s="24">
        <f t="shared" ref="L196:L206" si="77">N196+O196+P196</f>
        <v>0</v>
      </c>
      <c r="M196" s="30"/>
      <c r="N196" s="30"/>
      <c r="O196" s="30"/>
      <c r="P196" s="30"/>
    </row>
    <row r="197" spans="1:16" s="1" customFormat="1">
      <c r="A197" s="28"/>
      <c r="B197" s="38" t="s">
        <v>29</v>
      </c>
      <c r="C197" s="24">
        <f t="shared" si="76"/>
        <v>2427.61</v>
      </c>
      <c r="D197" s="30"/>
      <c r="E197" s="30">
        <v>2427.61</v>
      </c>
      <c r="F197" s="30"/>
      <c r="G197" s="30"/>
      <c r="H197" s="31"/>
      <c r="I197" s="31"/>
      <c r="J197" s="31"/>
      <c r="K197" s="31"/>
      <c r="L197" s="24">
        <f t="shared" si="77"/>
        <v>0</v>
      </c>
      <c r="M197" s="30"/>
      <c r="N197" s="30"/>
      <c r="O197" s="30"/>
      <c r="P197" s="30"/>
    </row>
    <row r="198" spans="1:16" s="1" customFormat="1">
      <c r="A198" s="28"/>
      <c r="B198" s="38" t="s">
        <v>30</v>
      </c>
      <c r="C198" s="24">
        <f t="shared" si="76"/>
        <v>0</v>
      </c>
      <c r="D198" s="30"/>
      <c r="E198" s="30"/>
      <c r="F198" s="30"/>
      <c r="G198" s="30"/>
      <c r="H198" s="31"/>
      <c r="I198" s="31"/>
      <c r="J198" s="31"/>
      <c r="K198" s="31"/>
      <c r="L198" s="24">
        <f t="shared" si="77"/>
        <v>0</v>
      </c>
      <c r="M198" s="30"/>
      <c r="N198" s="30"/>
      <c r="O198" s="30"/>
      <c r="P198" s="30"/>
    </row>
    <row r="199" spans="1:16" s="1" customFormat="1">
      <c r="A199" s="28"/>
      <c r="B199" s="38" t="s">
        <v>31</v>
      </c>
      <c r="C199" s="24">
        <f t="shared" si="76"/>
        <v>11218.71</v>
      </c>
      <c r="D199" s="30"/>
      <c r="E199" s="30">
        <v>11218.71</v>
      </c>
      <c r="F199" s="30"/>
      <c r="G199" s="30"/>
      <c r="H199" s="31"/>
      <c r="I199" s="31"/>
      <c r="J199" s="31"/>
      <c r="K199" s="31"/>
      <c r="L199" s="24">
        <f t="shared" si="77"/>
        <v>0</v>
      </c>
      <c r="M199" s="30"/>
      <c r="N199" s="30"/>
      <c r="O199" s="30"/>
      <c r="P199" s="30"/>
    </row>
    <row r="200" spans="1:16" s="1" customFormat="1" ht="30">
      <c r="A200" s="28"/>
      <c r="B200" s="39" t="s">
        <v>32</v>
      </c>
      <c r="C200" s="24">
        <f t="shared" si="76"/>
        <v>0</v>
      </c>
      <c r="D200" s="30"/>
      <c r="E200" s="30"/>
      <c r="F200" s="30"/>
      <c r="G200" s="30"/>
      <c r="H200" s="31"/>
      <c r="I200" s="31"/>
      <c r="J200" s="31"/>
      <c r="K200" s="31"/>
      <c r="L200" s="24">
        <f t="shared" si="77"/>
        <v>0</v>
      </c>
      <c r="M200" s="30"/>
      <c r="N200" s="30"/>
      <c r="O200" s="30"/>
      <c r="P200" s="30"/>
    </row>
    <row r="201" spans="1:16" s="1" customFormat="1" ht="30">
      <c r="A201" s="28"/>
      <c r="B201" s="39" t="s">
        <v>33</v>
      </c>
      <c r="C201" s="24">
        <f t="shared" si="76"/>
        <v>120.75</v>
      </c>
      <c r="D201" s="51">
        <f>2837.69+1910.1</f>
        <v>4747.79</v>
      </c>
      <c r="E201" s="30"/>
      <c r="F201" s="30">
        <v>120.75</v>
      </c>
      <c r="G201" s="30"/>
      <c r="H201" s="31"/>
      <c r="I201" s="31"/>
      <c r="J201" s="31"/>
      <c r="K201" s="31"/>
      <c r="L201" s="24">
        <f t="shared" si="77"/>
        <v>0</v>
      </c>
      <c r="M201" s="51">
        <f>2837.69+1910.1</f>
        <v>4747.79</v>
      </c>
      <c r="N201" s="30"/>
      <c r="O201" s="30"/>
      <c r="P201" s="30"/>
    </row>
    <row r="202" spans="1:16" s="1" customFormat="1" ht="30">
      <c r="A202" s="28"/>
      <c r="B202" s="40" t="s">
        <v>34</v>
      </c>
      <c r="C202" s="24">
        <f t="shared" si="76"/>
        <v>0</v>
      </c>
      <c r="D202" s="30"/>
      <c r="E202" s="30"/>
      <c r="F202" s="30"/>
      <c r="G202" s="30"/>
      <c r="H202" s="31"/>
      <c r="I202" s="31"/>
      <c r="J202" s="31"/>
      <c r="K202" s="31"/>
      <c r="L202" s="24">
        <f t="shared" si="77"/>
        <v>0</v>
      </c>
      <c r="M202" s="30"/>
      <c r="N202" s="30"/>
      <c r="O202" s="30"/>
      <c r="P202" s="30"/>
    </row>
    <row r="203" spans="1:16" s="1" customFormat="1">
      <c r="A203" s="28"/>
      <c r="B203" s="40" t="s">
        <v>35</v>
      </c>
      <c r="C203" s="24">
        <f t="shared" si="76"/>
        <v>22529.21</v>
      </c>
      <c r="D203" s="51">
        <f>6297.19+750+1500+982.93</f>
        <v>9530.119999999999</v>
      </c>
      <c r="E203" s="30"/>
      <c r="F203" s="30">
        <f>22523.21+6</f>
        <v>22529.21</v>
      </c>
      <c r="G203" s="30"/>
      <c r="H203" s="31"/>
      <c r="I203" s="31"/>
      <c r="J203" s="31"/>
      <c r="K203" s="31"/>
      <c r="L203" s="24">
        <f t="shared" si="77"/>
        <v>0</v>
      </c>
      <c r="M203" s="51">
        <f>6297.19+750+1500+982.93</f>
        <v>9530.119999999999</v>
      </c>
      <c r="N203" s="30"/>
      <c r="O203" s="30"/>
      <c r="P203" s="30"/>
    </row>
    <row r="204" spans="1:16" s="1" customFormat="1" ht="30">
      <c r="A204" s="28"/>
      <c r="B204" s="41" t="s">
        <v>36</v>
      </c>
      <c r="C204" s="24">
        <f t="shared" si="76"/>
        <v>0</v>
      </c>
      <c r="D204" s="30"/>
      <c r="E204" s="30"/>
      <c r="F204" s="30"/>
      <c r="G204" s="30"/>
      <c r="H204" s="31"/>
      <c r="I204" s="31"/>
      <c r="J204" s="31"/>
      <c r="K204" s="31"/>
      <c r="L204" s="24">
        <f t="shared" si="77"/>
        <v>0</v>
      </c>
      <c r="M204" s="30"/>
      <c r="N204" s="30"/>
      <c r="O204" s="30"/>
      <c r="P204" s="30"/>
    </row>
    <row r="205" spans="1:16" s="1" customFormat="1">
      <c r="A205" s="28"/>
      <c r="B205" s="42" t="s">
        <v>37</v>
      </c>
      <c r="C205" s="24">
        <f t="shared" si="76"/>
        <v>5000</v>
      </c>
      <c r="D205" s="30">
        <f>1110.1+5000</f>
        <v>6110.1</v>
      </c>
      <c r="E205" s="30">
        <v>5000</v>
      </c>
      <c r="F205" s="30"/>
      <c r="G205" s="30"/>
      <c r="H205" s="31"/>
      <c r="I205" s="31"/>
      <c r="J205" s="31"/>
      <c r="K205" s="31"/>
      <c r="L205" s="24">
        <f t="shared" si="77"/>
        <v>0</v>
      </c>
      <c r="M205" s="30">
        <f>1110.1+5000</f>
        <v>6110.1</v>
      </c>
      <c r="N205" s="30"/>
      <c r="O205" s="30"/>
      <c r="P205" s="30"/>
    </row>
    <row r="206" spans="1:16" s="1" customFormat="1" ht="30">
      <c r="A206" s="28"/>
      <c r="B206" s="42" t="s">
        <v>38</v>
      </c>
      <c r="C206" s="24">
        <f t="shared" si="76"/>
        <v>0</v>
      </c>
      <c r="D206" s="51">
        <v>446114.8</v>
      </c>
      <c r="E206" s="30"/>
      <c r="F206" s="30"/>
      <c r="G206" s="30"/>
      <c r="H206" s="31"/>
      <c r="I206" s="31"/>
      <c r="J206" s="31"/>
      <c r="K206" s="31"/>
      <c r="L206" s="24">
        <f t="shared" si="77"/>
        <v>0</v>
      </c>
      <c r="M206" s="51">
        <v>446114.8</v>
      </c>
      <c r="N206" s="30"/>
      <c r="O206" s="30"/>
      <c r="P206" s="30"/>
    </row>
    <row r="207" spans="1:16" s="1" customFormat="1" ht="30">
      <c r="A207" s="28"/>
      <c r="B207" s="43" t="s">
        <v>39</v>
      </c>
      <c r="C207" s="36">
        <f t="shared" ref="C207:G207" si="78">SUM(C208:C214)</f>
        <v>710616.87</v>
      </c>
      <c r="D207" s="52">
        <f t="shared" si="78"/>
        <v>330625.24</v>
      </c>
      <c r="E207" s="36">
        <f t="shared" si="78"/>
        <v>493424.47</v>
      </c>
      <c r="F207" s="36">
        <f t="shared" si="78"/>
        <v>217192.4</v>
      </c>
      <c r="G207" s="36">
        <f t="shared" si="78"/>
        <v>0</v>
      </c>
      <c r="H207" s="31"/>
      <c r="I207" s="31"/>
      <c r="J207" s="31"/>
      <c r="K207" s="31"/>
      <c r="L207" s="36">
        <f t="shared" ref="L207:P207" si="79">SUM(L208:L214)</f>
        <v>0</v>
      </c>
      <c r="M207" s="52">
        <f t="shared" si="79"/>
        <v>330625.24</v>
      </c>
      <c r="N207" s="36">
        <f t="shared" si="79"/>
        <v>0</v>
      </c>
      <c r="O207" s="36">
        <f t="shared" si="79"/>
        <v>0</v>
      </c>
      <c r="P207" s="36">
        <f t="shared" si="79"/>
        <v>0</v>
      </c>
    </row>
    <row r="208" spans="1:16" s="1" customFormat="1" ht="30">
      <c r="A208" s="28" t="s">
        <v>40</v>
      </c>
      <c r="B208" s="39" t="s">
        <v>41</v>
      </c>
      <c r="C208" s="24">
        <f t="shared" ref="C208:C214" si="80">E208+F208+G208</f>
        <v>0</v>
      </c>
      <c r="D208" s="30"/>
      <c r="E208" s="30"/>
      <c r="F208" s="30"/>
      <c r="G208" s="30"/>
      <c r="H208" s="31"/>
      <c r="I208" s="31"/>
      <c r="J208" s="31"/>
      <c r="K208" s="31"/>
      <c r="L208" s="24">
        <f t="shared" ref="L208:L214" si="81">N208+O208+P208</f>
        <v>0</v>
      </c>
      <c r="M208" s="30"/>
      <c r="N208" s="30"/>
      <c r="O208" s="30"/>
      <c r="P208" s="30"/>
    </row>
    <row r="209" spans="1:16" s="1" customFormat="1">
      <c r="A209" s="28"/>
      <c r="B209" s="39" t="s">
        <v>42</v>
      </c>
      <c r="C209" s="24">
        <f t="shared" si="80"/>
        <v>0</v>
      </c>
      <c r="D209" s="30"/>
      <c r="E209" s="30"/>
      <c r="F209" s="30"/>
      <c r="G209" s="30"/>
      <c r="H209" s="31"/>
      <c r="I209" s="31"/>
      <c r="J209" s="31"/>
      <c r="K209" s="31"/>
      <c r="L209" s="24">
        <f t="shared" si="81"/>
        <v>0</v>
      </c>
      <c r="M209" s="30"/>
      <c r="N209" s="30"/>
      <c r="O209" s="30"/>
      <c r="P209" s="30"/>
    </row>
    <row r="210" spans="1:16" s="1" customFormat="1">
      <c r="A210" s="28"/>
      <c r="B210" s="39" t="s">
        <v>43</v>
      </c>
      <c r="C210" s="24">
        <f t="shared" si="80"/>
        <v>0</v>
      </c>
      <c r="D210" s="30"/>
      <c r="E210" s="30"/>
      <c r="F210" s="30"/>
      <c r="G210" s="30"/>
      <c r="H210" s="31"/>
      <c r="I210" s="31"/>
      <c r="J210" s="31"/>
      <c r="K210" s="31"/>
      <c r="L210" s="24">
        <f t="shared" si="81"/>
        <v>0</v>
      </c>
      <c r="M210" s="30"/>
      <c r="N210" s="30"/>
      <c r="O210" s="30"/>
      <c r="P210" s="30"/>
    </row>
    <row r="211" spans="1:16" s="1" customFormat="1">
      <c r="A211" s="28"/>
      <c r="B211" s="39" t="s">
        <v>44</v>
      </c>
      <c r="C211" s="24">
        <f t="shared" si="80"/>
        <v>710616.87</v>
      </c>
      <c r="D211" s="51">
        <f>217371.22+113190.3</f>
        <v>330561.52</v>
      </c>
      <c r="E211" s="30">
        <v>493424.47</v>
      </c>
      <c r="F211" s="30">
        <f>395.4+39779+4000+173018</f>
        <v>217192.4</v>
      </c>
      <c r="G211" s="30"/>
      <c r="H211" s="31"/>
      <c r="I211" s="31"/>
      <c r="J211" s="31"/>
      <c r="K211" s="31"/>
      <c r="L211" s="24">
        <f t="shared" si="81"/>
        <v>0</v>
      </c>
      <c r="M211" s="51">
        <f>217371.22+113190.3</f>
        <v>330561.52</v>
      </c>
      <c r="N211" s="30"/>
      <c r="O211" s="30"/>
      <c r="P211" s="30"/>
    </row>
    <row r="212" spans="1:16" s="1" customFormat="1">
      <c r="A212" s="28"/>
      <c r="B212" s="39" t="s">
        <v>45</v>
      </c>
      <c r="C212" s="24">
        <f t="shared" si="80"/>
        <v>0</v>
      </c>
      <c r="D212" s="30"/>
      <c r="E212" s="30"/>
      <c r="F212" s="30"/>
      <c r="G212" s="30"/>
      <c r="H212" s="31"/>
      <c r="I212" s="31"/>
      <c r="J212" s="31"/>
      <c r="K212" s="31"/>
      <c r="L212" s="24">
        <f t="shared" si="81"/>
        <v>0</v>
      </c>
      <c r="M212" s="30"/>
      <c r="N212" s="30"/>
      <c r="O212" s="30"/>
      <c r="P212" s="30"/>
    </row>
    <row r="213" spans="1:16" s="1" customFormat="1" ht="30">
      <c r="A213" s="28"/>
      <c r="B213" s="39" t="s">
        <v>46</v>
      </c>
      <c r="C213" s="24">
        <f t="shared" si="80"/>
        <v>0</v>
      </c>
      <c r="D213" s="30"/>
      <c r="E213" s="30"/>
      <c r="F213" s="30"/>
      <c r="G213" s="30"/>
      <c r="H213" s="31"/>
      <c r="I213" s="31"/>
      <c r="J213" s="31"/>
      <c r="K213" s="31"/>
      <c r="L213" s="24">
        <f t="shared" si="81"/>
        <v>0</v>
      </c>
      <c r="M213" s="30"/>
      <c r="N213" s="30"/>
      <c r="O213" s="30"/>
      <c r="P213" s="30"/>
    </row>
    <row r="214" spans="1:16" s="1" customFormat="1">
      <c r="A214" s="28"/>
      <c r="B214" s="39" t="s">
        <v>47</v>
      </c>
      <c r="C214" s="24">
        <f t="shared" si="80"/>
        <v>0</v>
      </c>
      <c r="D214" s="51">
        <v>63.72</v>
      </c>
      <c r="E214" s="30"/>
      <c r="F214" s="30"/>
      <c r="G214" s="30"/>
      <c r="H214" s="31"/>
      <c r="I214" s="31"/>
      <c r="J214" s="31"/>
      <c r="K214" s="31"/>
      <c r="L214" s="24">
        <f t="shared" si="81"/>
        <v>0</v>
      </c>
      <c r="M214" s="51">
        <v>63.72</v>
      </c>
      <c r="N214" s="30"/>
      <c r="O214" s="30"/>
      <c r="P214" s="30"/>
    </row>
    <row r="215" spans="1:16" s="1" customFormat="1" ht="36.75" customHeight="1">
      <c r="A215" s="211" t="s">
        <v>3</v>
      </c>
      <c r="B215" s="213" t="s">
        <v>4</v>
      </c>
      <c r="C215" s="213" t="s">
        <v>5</v>
      </c>
      <c r="D215" s="10" t="s">
        <v>6</v>
      </c>
      <c r="E215" s="215" t="s">
        <v>7</v>
      </c>
      <c r="F215" s="216"/>
      <c r="G215" s="217"/>
      <c r="H215" s="218" t="s">
        <v>8</v>
      </c>
      <c r="I215" s="218"/>
      <c r="J215" s="218"/>
      <c r="K215" s="11"/>
      <c r="L215" s="219" t="s">
        <v>9</v>
      </c>
      <c r="M215" s="12" t="s">
        <v>6</v>
      </c>
      <c r="N215" s="208" t="s">
        <v>10</v>
      </c>
      <c r="O215" s="209"/>
      <c r="P215" s="210"/>
    </row>
    <row r="216" spans="1:16" s="1" customFormat="1" ht="47.25" customHeight="1">
      <c r="A216" s="212"/>
      <c r="B216" s="214"/>
      <c r="C216" s="214"/>
      <c r="D216" s="13" t="s">
        <v>11</v>
      </c>
      <c r="E216" s="13" t="s">
        <v>12</v>
      </c>
      <c r="F216" s="13" t="s">
        <v>13</v>
      </c>
      <c r="G216" s="13" t="s">
        <v>14</v>
      </c>
      <c r="H216" s="14" t="s">
        <v>15</v>
      </c>
      <c r="I216" s="14" t="s">
        <v>16</v>
      </c>
      <c r="J216" s="14" t="s">
        <v>17</v>
      </c>
      <c r="K216" s="14" t="s">
        <v>18</v>
      </c>
      <c r="L216" s="220"/>
      <c r="M216" s="15" t="s">
        <v>11</v>
      </c>
      <c r="N216" s="15" t="s">
        <v>12</v>
      </c>
      <c r="O216" s="15" t="s">
        <v>13</v>
      </c>
      <c r="P216" s="15" t="s">
        <v>14</v>
      </c>
    </row>
    <row r="217" spans="1:16" s="1" customFormat="1">
      <c r="A217" s="45">
        <v>8</v>
      </c>
      <c r="B217" s="17" t="s">
        <v>54</v>
      </c>
      <c r="C217" s="46">
        <f t="shared" ref="C217:G217" si="82">C218+C219+C220+C221+C222+C223+C224+C225+C230+C231+C232+C233+C234+C235+C236+C237</f>
        <v>178512.8</v>
      </c>
      <c r="D217" s="46">
        <f t="shared" si="82"/>
        <v>1339259.31</v>
      </c>
      <c r="E217" s="46">
        <f t="shared" si="82"/>
        <v>24662.6</v>
      </c>
      <c r="F217" s="46">
        <f t="shared" si="82"/>
        <v>153850.20000000001</v>
      </c>
      <c r="G217" s="46">
        <f t="shared" si="82"/>
        <v>0</v>
      </c>
      <c r="H217" s="19"/>
      <c r="I217" s="20"/>
      <c r="J217" s="20"/>
      <c r="K217" s="11"/>
      <c r="L217" s="46">
        <f t="shared" ref="L217:P217" si="83">L218+L219+L220+L221+L222+L223+L224+L225+L230+L231+L232+L233+L234+L235+L236+L237</f>
        <v>0</v>
      </c>
      <c r="M217" s="46">
        <f t="shared" si="83"/>
        <v>1339259.31</v>
      </c>
      <c r="N217" s="46">
        <f t="shared" si="83"/>
        <v>0</v>
      </c>
      <c r="O217" s="46">
        <f t="shared" si="83"/>
        <v>0</v>
      </c>
      <c r="P217" s="46">
        <f t="shared" si="83"/>
        <v>0</v>
      </c>
    </row>
    <row r="218" spans="1:16" s="5" customFormat="1">
      <c r="A218" s="22"/>
      <c r="B218" s="23" t="s">
        <v>20</v>
      </c>
      <c r="C218" s="24">
        <f t="shared" ref="C218:C224" si="84">E218+F218+G218</f>
        <v>129347.89</v>
      </c>
      <c r="D218" s="25"/>
      <c r="E218" s="25"/>
      <c r="F218" s="24">
        <v>129347.89</v>
      </c>
      <c r="G218" s="25"/>
      <c r="H218" s="26"/>
      <c r="I218" s="24"/>
      <c r="J218" s="24"/>
      <c r="K218" s="27"/>
      <c r="L218" s="24">
        <f t="shared" ref="L218:L224" si="85">N218+O218+P218</f>
        <v>0</v>
      </c>
      <c r="M218" s="25"/>
      <c r="N218" s="25"/>
      <c r="O218" s="24"/>
      <c r="P218" s="25"/>
    </row>
    <row r="219" spans="1:16" s="1" customFormat="1">
      <c r="A219" s="28"/>
      <c r="B219" s="29" t="s">
        <v>21</v>
      </c>
      <c r="C219" s="24">
        <f t="shared" si="84"/>
        <v>0</v>
      </c>
      <c r="D219" s="30"/>
      <c r="E219" s="30"/>
      <c r="F219" s="30"/>
      <c r="G219" s="30"/>
      <c r="H219" s="31"/>
      <c r="I219" s="31"/>
      <c r="J219" s="31"/>
      <c r="K219" s="31"/>
      <c r="L219" s="24">
        <f t="shared" si="85"/>
        <v>0</v>
      </c>
      <c r="M219" s="30"/>
      <c r="N219" s="30"/>
      <c r="O219" s="30"/>
      <c r="P219" s="30"/>
    </row>
    <row r="220" spans="1:16" s="1" customFormat="1">
      <c r="A220" s="28"/>
      <c r="B220" s="32" t="s">
        <v>22</v>
      </c>
      <c r="C220" s="24">
        <f t="shared" si="84"/>
        <v>0</v>
      </c>
      <c r="D220" s="30"/>
      <c r="E220" s="30"/>
      <c r="F220" s="30"/>
      <c r="G220" s="30"/>
      <c r="H220" s="31"/>
      <c r="I220" s="31"/>
      <c r="J220" s="31"/>
      <c r="K220" s="31"/>
      <c r="L220" s="24">
        <f t="shared" si="85"/>
        <v>0</v>
      </c>
      <c r="M220" s="30"/>
      <c r="N220" s="30"/>
      <c r="O220" s="30"/>
      <c r="P220" s="30"/>
    </row>
    <row r="221" spans="1:16" s="1" customFormat="1">
      <c r="A221" s="28"/>
      <c r="B221" s="32" t="s">
        <v>23</v>
      </c>
      <c r="C221" s="24">
        <f t="shared" si="84"/>
        <v>0</v>
      </c>
      <c r="D221" s="30">
        <v>1296</v>
      </c>
      <c r="E221" s="30"/>
      <c r="F221" s="30"/>
      <c r="G221" s="30"/>
      <c r="H221" s="31"/>
      <c r="I221" s="31"/>
      <c r="J221" s="31"/>
      <c r="K221" s="31"/>
      <c r="L221" s="24">
        <f t="shared" si="85"/>
        <v>0</v>
      </c>
      <c r="M221" s="30">
        <v>1296</v>
      </c>
      <c r="N221" s="30"/>
      <c r="O221" s="30"/>
      <c r="P221" s="30"/>
    </row>
    <row r="222" spans="1:16" s="1" customFormat="1">
      <c r="A222" s="28"/>
      <c r="B222" s="29" t="s">
        <v>24</v>
      </c>
      <c r="C222" s="24">
        <f t="shared" si="84"/>
        <v>0</v>
      </c>
      <c r="D222" s="30">
        <f>190003.06+1743.79+0.42+0.02+1.48</f>
        <v>191748.77000000002</v>
      </c>
      <c r="E222" s="30"/>
      <c r="F222" s="30"/>
      <c r="G222" s="30"/>
      <c r="H222" s="31"/>
      <c r="I222" s="31"/>
      <c r="J222" s="31"/>
      <c r="K222" s="31"/>
      <c r="L222" s="24">
        <f t="shared" si="85"/>
        <v>0</v>
      </c>
      <c r="M222" s="30">
        <f>190003.06+1743.79+0.42+0.02+1.48</f>
        <v>191748.77000000002</v>
      </c>
      <c r="N222" s="30"/>
      <c r="O222" s="30"/>
      <c r="P222" s="30"/>
    </row>
    <row r="223" spans="1:16" s="1" customFormat="1">
      <c r="A223" s="28"/>
      <c r="B223" s="34" t="s">
        <v>25</v>
      </c>
      <c r="C223" s="24">
        <f t="shared" si="84"/>
        <v>0</v>
      </c>
      <c r="D223" s="30"/>
      <c r="E223" s="30"/>
      <c r="F223" s="30"/>
      <c r="G223" s="30"/>
      <c r="H223" s="31"/>
      <c r="I223" s="31"/>
      <c r="J223" s="31"/>
      <c r="K223" s="31"/>
      <c r="L223" s="24">
        <f t="shared" si="85"/>
        <v>0</v>
      </c>
      <c r="M223" s="30"/>
      <c r="N223" s="30"/>
      <c r="O223" s="30"/>
      <c r="P223" s="30"/>
    </row>
    <row r="224" spans="1:16" s="1" customFormat="1">
      <c r="A224" s="28"/>
      <c r="B224" s="32" t="s">
        <v>26</v>
      </c>
      <c r="C224" s="24">
        <f t="shared" si="84"/>
        <v>0</v>
      </c>
      <c r="D224" s="30"/>
      <c r="E224" s="30"/>
      <c r="F224" s="30"/>
      <c r="G224" s="30"/>
      <c r="H224" s="31"/>
      <c r="I224" s="31"/>
      <c r="J224" s="31"/>
      <c r="K224" s="31"/>
      <c r="L224" s="24">
        <f t="shared" si="85"/>
        <v>0</v>
      </c>
      <c r="M224" s="30"/>
      <c r="N224" s="30"/>
      <c r="O224" s="30"/>
      <c r="P224" s="30"/>
    </row>
    <row r="225" spans="1:16" s="1" customFormat="1" ht="30">
      <c r="A225" s="28"/>
      <c r="B225" s="35" t="s">
        <v>27</v>
      </c>
      <c r="C225" s="36">
        <f t="shared" ref="C225:G225" si="86">SUM(C226:C229)</f>
        <v>24662.6</v>
      </c>
      <c r="D225" s="36">
        <f t="shared" si="86"/>
        <v>178220.78</v>
      </c>
      <c r="E225" s="36">
        <f t="shared" si="86"/>
        <v>24662.6</v>
      </c>
      <c r="F225" s="36">
        <f t="shared" si="86"/>
        <v>0</v>
      </c>
      <c r="G225" s="36">
        <f t="shared" si="86"/>
        <v>0</v>
      </c>
      <c r="H225" s="31"/>
      <c r="I225" s="31"/>
      <c r="J225" s="31"/>
      <c r="K225" s="31"/>
      <c r="L225" s="36">
        <f t="shared" ref="L225:P225" si="87">SUM(L226:L229)</f>
        <v>0</v>
      </c>
      <c r="M225" s="36">
        <f t="shared" si="87"/>
        <v>178220.78</v>
      </c>
      <c r="N225" s="36">
        <f t="shared" si="87"/>
        <v>0</v>
      </c>
      <c r="O225" s="36">
        <f t="shared" si="87"/>
        <v>0</v>
      </c>
      <c r="P225" s="36">
        <f t="shared" si="87"/>
        <v>0</v>
      </c>
    </row>
    <row r="226" spans="1:16" s="1" customFormat="1">
      <c r="A226" s="28"/>
      <c r="B226" s="38" t="s">
        <v>28</v>
      </c>
      <c r="C226" s="24">
        <f t="shared" ref="C226:C236" si="88">E226+F226+G226</f>
        <v>0</v>
      </c>
      <c r="D226" s="30">
        <v>58387.040000000001</v>
      </c>
      <c r="E226" s="30"/>
      <c r="F226" s="30"/>
      <c r="G226" s="30"/>
      <c r="H226" s="31"/>
      <c r="I226" s="31"/>
      <c r="J226" s="31"/>
      <c r="K226" s="31"/>
      <c r="L226" s="24">
        <f t="shared" ref="L226:L236" si="89">N226+O226+P226</f>
        <v>0</v>
      </c>
      <c r="M226" s="30">
        <v>58387.040000000001</v>
      </c>
      <c r="N226" s="30"/>
      <c r="O226" s="30"/>
      <c r="P226" s="30"/>
    </row>
    <row r="227" spans="1:16" s="1" customFormat="1">
      <c r="A227" s="28"/>
      <c r="B227" s="38" t="s">
        <v>29</v>
      </c>
      <c r="C227" s="24">
        <f t="shared" si="88"/>
        <v>0</v>
      </c>
      <c r="D227" s="30">
        <v>119833.74</v>
      </c>
      <c r="E227" s="30"/>
      <c r="F227" s="30"/>
      <c r="G227" s="30"/>
      <c r="H227" s="31"/>
      <c r="I227" s="31"/>
      <c r="J227" s="31"/>
      <c r="K227" s="31"/>
      <c r="L227" s="24">
        <f t="shared" si="89"/>
        <v>0</v>
      </c>
      <c r="M227" s="30">
        <v>119833.74</v>
      </c>
      <c r="N227" s="30"/>
      <c r="O227" s="30"/>
      <c r="P227" s="30"/>
    </row>
    <row r="228" spans="1:16" s="1" customFormat="1">
      <c r="A228" s="28"/>
      <c r="B228" s="38" t="s">
        <v>30</v>
      </c>
      <c r="C228" s="24">
        <f t="shared" si="88"/>
        <v>0</v>
      </c>
      <c r="D228" s="30"/>
      <c r="E228" s="30"/>
      <c r="F228" s="30"/>
      <c r="G228" s="30"/>
      <c r="H228" s="31"/>
      <c r="I228" s="31"/>
      <c r="J228" s="31"/>
      <c r="K228" s="31"/>
      <c r="L228" s="24">
        <f t="shared" si="89"/>
        <v>0</v>
      </c>
      <c r="M228" s="30"/>
      <c r="N228" s="30"/>
      <c r="O228" s="30"/>
      <c r="P228" s="30"/>
    </row>
    <row r="229" spans="1:16" s="1" customFormat="1">
      <c r="A229" s="28"/>
      <c r="B229" s="38" t="s">
        <v>31</v>
      </c>
      <c r="C229" s="24">
        <f t="shared" si="88"/>
        <v>24662.6</v>
      </c>
      <c r="D229" s="30"/>
      <c r="E229" s="30">
        <v>24662.6</v>
      </c>
      <c r="F229" s="30"/>
      <c r="G229" s="30"/>
      <c r="H229" s="31"/>
      <c r="I229" s="31"/>
      <c r="J229" s="31"/>
      <c r="K229" s="31"/>
      <c r="L229" s="24">
        <f t="shared" si="89"/>
        <v>0</v>
      </c>
      <c r="M229" s="30"/>
      <c r="N229" s="30"/>
      <c r="O229" s="30"/>
      <c r="P229" s="30"/>
    </row>
    <row r="230" spans="1:16" s="1" customFormat="1" ht="30">
      <c r="A230" s="28"/>
      <c r="B230" s="39" t="s">
        <v>32</v>
      </c>
      <c r="C230" s="24">
        <f t="shared" si="88"/>
        <v>0</v>
      </c>
      <c r="D230" s="30"/>
      <c r="E230" s="30"/>
      <c r="F230" s="30"/>
      <c r="G230" s="30"/>
      <c r="H230" s="31"/>
      <c r="I230" s="31"/>
      <c r="J230" s="31"/>
      <c r="K230" s="31"/>
      <c r="L230" s="24">
        <f t="shared" si="89"/>
        <v>0</v>
      </c>
      <c r="M230" s="30"/>
      <c r="N230" s="30"/>
      <c r="O230" s="30"/>
      <c r="P230" s="30"/>
    </row>
    <row r="231" spans="1:16" s="1" customFormat="1" ht="30">
      <c r="A231" s="28"/>
      <c r="B231" s="39" t="s">
        <v>33</v>
      </c>
      <c r="C231" s="24">
        <f t="shared" si="88"/>
        <v>0</v>
      </c>
      <c r="D231" s="30">
        <f>15000+8000+28845.23</f>
        <v>51845.229999999996</v>
      </c>
      <c r="E231" s="30"/>
      <c r="F231" s="30"/>
      <c r="G231" s="30"/>
      <c r="H231" s="31"/>
      <c r="I231" s="31"/>
      <c r="J231" s="31"/>
      <c r="K231" s="31"/>
      <c r="L231" s="24">
        <f t="shared" si="89"/>
        <v>0</v>
      </c>
      <c r="M231" s="30">
        <f>15000+8000+28845.23</f>
        <v>51845.229999999996</v>
      </c>
      <c r="N231" s="30"/>
      <c r="O231" s="30"/>
      <c r="P231" s="30"/>
    </row>
    <row r="232" spans="1:16" s="1" customFormat="1" ht="30">
      <c r="A232" s="28"/>
      <c r="B232" s="40" t="s">
        <v>34</v>
      </c>
      <c r="C232" s="24">
        <f t="shared" si="88"/>
        <v>0</v>
      </c>
      <c r="D232" s="30"/>
      <c r="E232" s="30"/>
      <c r="F232" s="30"/>
      <c r="G232" s="30"/>
      <c r="H232" s="31"/>
      <c r="I232" s="31"/>
      <c r="J232" s="31"/>
      <c r="K232" s="31"/>
      <c r="L232" s="24">
        <f t="shared" si="89"/>
        <v>0</v>
      </c>
      <c r="M232" s="30"/>
      <c r="N232" s="30"/>
      <c r="O232" s="30"/>
      <c r="P232" s="30"/>
    </row>
    <row r="233" spans="1:16" s="1" customFormat="1">
      <c r="A233" s="28"/>
      <c r="B233" s="40" t="s">
        <v>35</v>
      </c>
      <c r="C233" s="24">
        <f t="shared" si="88"/>
        <v>0</v>
      </c>
      <c r="D233" s="30"/>
      <c r="E233" s="30"/>
      <c r="F233" s="30"/>
      <c r="G233" s="30"/>
      <c r="H233" s="31"/>
      <c r="I233" s="31"/>
      <c r="J233" s="31"/>
      <c r="K233" s="31"/>
      <c r="L233" s="24">
        <f t="shared" si="89"/>
        <v>0</v>
      </c>
      <c r="M233" s="30"/>
      <c r="N233" s="30"/>
      <c r="O233" s="30"/>
      <c r="P233" s="30"/>
    </row>
    <row r="234" spans="1:16" s="1" customFormat="1" ht="30">
      <c r="A234" s="28"/>
      <c r="B234" s="41" t="s">
        <v>36</v>
      </c>
      <c r="C234" s="24">
        <f t="shared" si="88"/>
        <v>0</v>
      </c>
      <c r="D234" s="30"/>
      <c r="E234" s="30"/>
      <c r="F234" s="30"/>
      <c r="G234" s="30"/>
      <c r="H234" s="31"/>
      <c r="I234" s="31"/>
      <c r="J234" s="31"/>
      <c r="K234" s="31"/>
      <c r="L234" s="24">
        <f t="shared" si="89"/>
        <v>0</v>
      </c>
      <c r="M234" s="30"/>
      <c r="N234" s="30"/>
      <c r="O234" s="30"/>
      <c r="P234" s="30"/>
    </row>
    <row r="235" spans="1:16" s="1" customFormat="1">
      <c r="A235" s="28"/>
      <c r="B235" s="42" t="s">
        <v>37</v>
      </c>
      <c r="C235" s="24">
        <f t="shared" si="88"/>
        <v>0</v>
      </c>
      <c r="D235" s="30"/>
      <c r="E235" s="30"/>
      <c r="F235" s="30"/>
      <c r="G235" s="30"/>
      <c r="H235" s="31"/>
      <c r="I235" s="31"/>
      <c r="J235" s="31"/>
      <c r="K235" s="31"/>
      <c r="L235" s="24">
        <f t="shared" si="89"/>
        <v>0</v>
      </c>
      <c r="M235" s="30"/>
      <c r="N235" s="30"/>
      <c r="O235" s="30"/>
      <c r="P235" s="30"/>
    </row>
    <row r="236" spans="1:16" s="1" customFormat="1" ht="30">
      <c r="A236" s="28"/>
      <c r="B236" s="42" t="s">
        <v>38</v>
      </c>
      <c r="C236" s="24">
        <f t="shared" si="88"/>
        <v>0</v>
      </c>
      <c r="D236" s="30">
        <f>561480+18595.3+6899.92</f>
        <v>586975.22000000009</v>
      </c>
      <c r="E236" s="30"/>
      <c r="F236" s="30"/>
      <c r="G236" s="30"/>
      <c r="H236" s="31"/>
      <c r="I236" s="31"/>
      <c r="J236" s="31"/>
      <c r="K236" s="31"/>
      <c r="L236" s="24">
        <f t="shared" si="89"/>
        <v>0</v>
      </c>
      <c r="M236" s="30">
        <f>561480+18595.3+6899.92</f>
        <v>586975.22000000009</v>
      </c>
      <c r="N236" s="30"/>
      <c r="O236" s="30"/>
      <c r="P236" s="30"/>
    </row>
    <row r="237" spans="1:16" s="1" customFormat="1" ht="30">
      <c r="A237" s="28"/>
      <c r="B237" s="43" t="s">
        <v>39</v>
      </c>
      <c r="C237" s="36">
        <f t="shared" ref="C237:G237" si="90">SUM(C238:C244)</f>
        <v>24502.31</v>
      </c>
      <c r="D237" s="36">
        <f t="shared" si="90"/>
        <v>329173.30999999994</v>
      </c>
      <c r="E237" s="36">
        <f t="shared" si="90"/>
        <v>0</v>
      </c>
      <c r="F237" s="36">
        <f t="shared" si="90"/>
        <v>24502.31</v>
      </c>
      <c r="G237" s="36">
        <f t="shared" si="90"/>
        <v>0</v>
      </c>
      <c r="H237" s="31"/>
      <c r="I237" s="31"/>
      <c r="J237" s="31"/>
      <c r="K237" s="31"/>
      <c r="L237" s="36">
        <f t="shared" ref="L237:P237" si="91">SUM(L238:L244)</f>
        <v>0</v>
      </c>
      <c r="M237" s="36">
        <f t="shared" si="91"/>
        <v>329173.30999999994</v>
      </c>
      <c r="N237" s="36">
        <f t="shared" si="91"/>
        <v>0</v>
      </c>
      <c r="O237" s="36">
        <f t="shared" si="91"/>
        <v>0</v>
      </c>
      <c r="P237" s="36">
        <f t="shared" si="91"/>
        <v>0</v>
      </c>
    </row>
    <row r="238" spans="1:16" s="1" customFormat="1" ht="30">
      <c r="A238" s="28" t="s">
        <v>40</v>
      </c>
      <c r="B238" s="39" t="s">
        <v>41</v>
      </c>
      <c r="C238" s="24">
        <f t="shared" ref="C238:C244" si="92">E238+F238+G238</f>
        <v>0</v>
      </c>
      <c r="D238" s="30"/>
      <c r="E238" s="30"/>
      <c r="F238" s="30"/>
      <c r="G238" s="30"/>
      <c r="H238" s="31"/>
      <c r="I238" s="31"/>
      <c r="J238" s="31"/>
      <c r="K238" s="31"/>
      <c r="L238" s="24">
        <f t="shared" ref="L238:L244" si="93">N238+O238+P238</f>
        <v>0</v>
      </c>
      <c r="M238" s="30"/>
      <c r="N238" s="30"/>
      <c r="O238" s="30"/>
      <c r="P238" s="30"/>
    </row>
    <row r="239" spans="1:16" s="1" customFormat="1">
      <c r="A239" s="28"/>
      <c r="B239" s="39" t="s">
        <v>42</v>
      </c>
      <c r="C239" s="24">
        <f t="shared" si="92"/>
        <v>0</v>
      </c>
      <c r="D239" s="30"/>
      <c r="E239" s="30"/>
      <c r="F239" s="30"/>
      <c r="G239" s="30"/>
      <c r="H239" s="31"/>
      <c r="I239" s="31"/>
      <c r="J239" s="31"/>
      <c r="K239" s="31"/>
      <c r="L239" s="24">
        <f t="shared" si="93"/>
        <v>0</v>
      </c>
      <c r="M239" s="30"/>
      <c r="N239" s="30"/>
      <c r="O239" s="30"/>
      <c r="P239" s="30"/>
    </row>
    <row r="240" spans="1:16" s="1" customFormat="1">
      <c r="A240" s="28"/>
      <c r="B240" s="39" t="s">
        <v>43</v>
      </c>
      <c r="C240" s="24">
        <f t="shared" si="92"/>
        <v>0</v>
      </c>
      <c r="D240" s="30"/>
      <c r="E240" s="30"/>
      <c r="F240" s="30"/>
      <c r="G240" s="30"/>
      <c r="H240" s="31"/>
      <c r="I240" s="31"/>
      <c r="J240" s="31"/>
      <c r="K240" s="31"/>
      <c r="L240" s="24">
        <f t="shared" si="93"/>
        <v>0</v>
      </c>
      <c r="M240" s="30"/>
      <c r="N240" s="30"/>
      <c r="O240" s="30"/>
      <c r="P240" s="30"/>
    </row>
    <row r="241" spans="1:16" s="1" customFormat="1">
      <c r="A241" s="28"/>
      <c r="B241" s="39" t="s">
        <v>44</v>
      </c>
      <c r="C241" s="24">
        <f t="shared" si="92"/>
        <v>24502.31</v>
      </c>
      <c r="D241" s="30">
        <f>76560+7510.55+52336.83+20927.62+28255+136007.96+0.05</f>
        <v>321598.00999999995</v>
      </c>
      <c r="E241" s="30"/>
      <c r="F241" s="30">
        <f>52.31+23340+1110</f>
        <v>24502.31</v>
      </c>
      <c r="G241" s="30"/>
      <c r="H241" s="31"/>
      <c r="I241" s="31"/>
      <c r="J241" s="31"/>
      <c r="K241" s="31"/>
      <c r="L241" s="24">
        <f t="shared" si="93"/>
        <v>0</v>
      </c>
      <c r="M241" s="30">
        <f>76560+7510.55+52336.83+20927.62+28255+136007.96+0.05</f>
        <v>321598.00999999995</v>
      </c>
      <c r="N241" s="30"/>
      <c r="O241" s="30"/>
      <c r="P241" s="30"/>
    </row>
    <row r="242" spans="1:16" s="1" customFormat="1">
      <c r="A242" s="28"/>
      <c r="B242" s="39" t="s">
        <v>45</v>
      </c>
      <c r="C242" s="24">
        <f t="shared" si="92"/>
        <v>0</v>
      </c>
      <c r="D242" s="30"/>
      <c r="E242" s="30"/>
      <c r="F242" s="30"/>
      <c r="G242" s="30"/>
      <c r="H242" s="31"/>
      <c r="I242" s="31"/>
      <c r="J242" s="31"/>
      <c r="K242" s="31"/>
      <c r="L242" s="24">
        <f t="shared" si="93"/>
        <v>0</v>
      </c>
      <c r="M242" s="30"/>
      <c r="N242" s="30"/>
      <c r="O242" s="30"/>
      <c r="P242" s="30"/>
    </row>
    <row r="243" spans="1:16" s="1" customFormat="1" ht="30">
      <c r="A243" s="28"/>
      <c r="B243" s="39" t="s">
        <v>46</v>
      </c>
      <c r="C243" s="24">
        <f t="shared" si="92"/>
        <v>0</v>
      </c>
      <c r="D243" s="30"/>
      <c r="E243" s="30"/>
      <c r="F243" s="30"/>
      <c r="G243" s="30"/>
      <c r="H243" s="31"/>
      <c r="I243" s="31"/>
      <c r="J243" s="31"/>
      <c r="K243" s="31"/>
      <c r="L243" s="24">
        <f t="shared" si="93"/>
        <v>0</v>
      </c>
      <c r="M243" s="30"/>
      <c r="N243" s="30"/>
      <c r="O243" s="30"/>
      <c r="P243" s="30"/>
    </row>
    <row r="244" spans="1:16" s="1" customFormat="1">
      <c r="A244" s="28"/>
      <c r="B244" s="39" t="s">
        <v>47</v>
      </c>
      <c r="C244" s="24">
        <f t="shared" si="92"/>
        <v>0</v>
      </c>
      <c r="D244" s="30">
        <f>5575.3+2000</f>
        <v>7575.3</v>
      </c>
      <c r="E244" s="30"/>
      <c r="F244" s="30"/>
      <c r="G244" s="30"/>
      <c r="H244" s="31"/>
      <c r="I244" s="31"/>
      <c r="J244" s="31"/>
      <c r="K244" s="31"/>
      <c r="L244" s="24">
        <f t="shared" si="93"/>
        <v>0</v>
      </c>
      <c r="M244" s="30">
        <f>5575.3+2000</f>
        <v>7575.3</v>
      </c>
      <c r="N244" s="30"/>
      <c r="O244" s="30"/>
      <c r="P244" s="30"/>
    </row>
    <row r="245" spans="1:16" s="1" customFormat="1" ht="36.75" customHeight="1">
      <c r="A245" s="211" t="s">
        <v>3</v>
      </c>
      <c r="B245" s="213" t="s">
        <v>4</v>
      </c>
      <c r="C245" s="213" t="s">
        <v>5</v>
      </c>
      <c r="D245" s="10" t="s">
        <v>6</v>
      </c>
      <c r="E245" s="215" t="s">
        <v>7</v>
      </c>
      <c r="F245" s="216"/>
      <c r="G245" s="217"/>
      <c r="H245" s="218" t="s">
        <v>8</v>
      </c>
      <c r="I245" s="218"/>
      <c r="J245" s="218"/>
      <c r="K245" s="11"/>
      <c r="L245" s="219" t="s">
        <v>9</v>
      </c>
      <c r="M245" s="12" t="s">
        <v>6</v>
      </c>
      <c r="N245" s="208" t="s">
        <v>10</v>
      </c>
      <c r="O245" s="209"/>
      <c r="P245" s="210"/>
    </row>
    <row r="246" spans="1:16" s="1" customFormat="1" ht="47.25" customHeight="1">
      <c r="A246" s="212"/>
      <c r="B246" s="214"/>
      <c r="C246" s="214"/>
      <c r="D246" s="13" t="s">
        <v>11</v>
      </c>
      <c r="E246" s="13" t="s">
        <v>12</v>
      </c>
      <c r="F246" s="13" t="s">
        <v>13</v>
      </c>
      <c r="G246" s="13" t="s">
        <v>14</v>
      </c>
      <c r="H246" s="14" t="s">
        <v>15</v>
      </c>
      <c r="I246" s="14" t="s">
        <v>16</v>
      </c>
      <c r="J246" s="14" t="s">
        <v>17</v>
      </c>
      <c r="K246" s="14" t="s">
        <v>18</v>
      </c>
      <c r="L246" s="220"/>
      <c r="M246" s="15" t="s">
        <v>11</v>
      </c>
      <c r="N246" s="15" t="s">
        <v>12</v>
      </c>
      <c r="O246" s="15" t="s">
        <v>13</v>
      </c>
      <c r="P246" s="15" t="s">
        <v>14</v>
      </c>
    </row>
    <row r="247" spans="1:16" s="1" customFormat="1">
      <c r="A247" s="16">
        <v>9</v>
      </c>
      <c r="B247" s="17" t="s">
        <v>55</v>
      </c>
      <c r="C247" s="18">
        <f t="shared" ref="C247:G247" si="94">C248+C249+C250+C251+C252+C253+C254+C255+C260+C261+C262+C263+C264+C265+C266+C267</f>
        <v>2090696.8199999998</v>
      </c>
      <c r="D247" s="18">
        <f t="shared" si="94"/>
        <v>1553428.0599999998</v>
      </c>
      <c r="E247" s="18">
        <f t="shared" si="94"/>
        <v>1052152.22</v>
      </c>
      <c r="F247" s="18">
        <f t="shared" si="94"/>
        <v>866357.42999999993</v>
      </c>
      <c r="G247" s="18">
        <f t="shared" si="94"/>
        <v>172187.17</v>
      </c>
      <c r="H247" s="19"/>
      <c r="I247" s="20"/>
      <c r="J247" s="20"/>
      <c r="K247" s="11"/>
      <c r="L247" s="18">
        <f t="shared" ref="L247:P247" si="95">L248+L249+L250+L251+L252+L253+L254+L255+L260+L261+L262+L263+L264+L265+L266+L267</f>
        <v>0</v>
      </c>
      <c r="M247" s="18">
        <f t="shared" si="95"/>
        <v>1553428.0599999998</v>
      </c>
      <c r="N247" s="18">
        <f t="shared" si="95"/>
        <v>0</v>
      </c>
      <c r="O247" s="18">
        <f t="shared" si="95"/>
        <v>0</v>
      </c>
      <c r="P247" s="18">
        <f t="shared" si="95"/>
        <v>0</v>
      </c>
    </row>
    <row r="248" spans="1:16" s="1" customFormat="1">
      <c r="A248" s="22"/>
      <c r="B248" s="23" t="s">
        <v>20</v>
      </c>
      <c r="C248" s="24">
        <f t="shared" ref="C248:C254" si="96">E248+F248+G248</f>
        <v>474539.48</v>
      </c>
      <c r="D248" s="25"/>
      <c r="E248" s="25"/>
      <c r="F248" s="24">
        <v>302352.31</v>
      </c>
      <c r="G248" s="25">
        <v>172187.17</v>
      </c>
      <c r="H248" s="26"/>
      <c r="I248" s="24"/>
      <c r="J248" s="24"/>
      <c r="K248" s="27"/>
      <c r="L248" s="24">
        <f t="shared" ref="L248:L254" si="97">N248+O248+P248</f>
        <v>0</v>
      </c>
      <c r="M248" s="25"/>
      <c r="N248" s="25"/>
      <c r="O248" s="24"/>
      <c r="P248" s="25"/>
    </row>
    <row r="249" spans="1:16" s="1" customFormat="1">
      <c r="A249" s="28"/>
      <c r="B249" s="29" t="s">
        <v>21</v>
      </c>
      <c r="C249" s="24">
        <f t="shared" si="96"/>
        <v>120277.4</v>
      </c>
      <c r="D249" s="30">
        <v>30227.84</v>
      </c>
      <c r="E249" s="30">
        <f>46+120231.4</f>
        <v>120277.4</v>
      </c>
      <c r="F249" s="30"/>
      <c r="G249" s="30"/>
      <c r="H249" s="31"/>
      <c r="I249" s="31"/>
      <c r="J249" s="31"/>
      <c r="K249" s="31"/>
      <c r="L249" s="24">
        <f t="shared" si="97"/>
        <v>0</v>
      </c>
      <c r="M249" s="30">
        <v>30227.84</v>
      </c>
      <c r="N249" s="30"/>
      <c r="O249" s="30"/>
      <c r="P249" s="30"/>
    </row>
    <row r="250" spans="1:16" s="1" customFormat="1">
      <c r="A250" s="28"/>
      <c r="B250" s="32" t="s">
        <v>22</v>
      </c>
      <c r="C250" s="24">
        <f t="shared" si="96"/>
        <v>450</v>
      </c>
      <c r="D250" s="30"/>
      <c r="E250" s="30">
        <v>450</v>
      </c>
      <c r="F250" s="30"/>
      <c r="G250" s="30"/>
      <c r="H250" s="31"/>
      <c r="I250" s="31"/>
      <c r="J250" s="31"/>
      <c r="K250" s="31"/>
      <c r="L250" s="24">
        <f t="shared" si="97"/>
        <v>0</v>
      </c>
      <c r="M250" s="30"/>
      <c r="N250" s="30"/>
      <c r="O250" s="30"/>
      <c r="P250" s="30"/>
    </row>
    <row r="251" spans="1:16" s="1" customFormat="1">
      <c r="A251" s="28"/>
      <c r="B251" s="32" t="s">
        <v>23</v>
      </c>
      <c r="C251" s="24">
        <f t="shared" si="96"/>
        <v>0</v>
      </c>
      <c r="D251" s="30">
        <v>9299.39</v>
      </c>
      <c r="E251" s="30"/>
      <c r="F251" s="30"/>
      <c r="G251" s="30"/>
      <c r="H251" s="31"/>
      <c r="I251" s="31"/>
      <c r="J251" s="31"/>
      <c r="K251" s="31"/>
      <c r="L251" s="24">
        <f t="shared" si="97"/>
        <v>0</v>
      </c>
      <c r="M251" s="30">
        <v>9299.39</v>
      </c>
      <c r="N251" s="30"/>
      <c r="O251" s="30"/>
      <c r="P251" s="30"/>
    </row>
    <row r="252" spans="1:16" s="1" customFormat="1">
      <c r="A252" s="28"/>
      <c r="B252" s="29" t="s">
        <v>24</v>
      </c>
      <c r="C252" s="24">
        <f t="shared" si="96"/>
        <v>0</v>
      </c>
      <c r="D252" s="30">
        <v>507538.44</v>
      </c>
      <c r="E252" s="30"/>
      <c r="F252" s="30"/>
      <c r="G252" s="30"/>
      <c r="H252" s="31"/>
      <c r="I252" s="31"/>
      <c r="J252" s="31"/>
      <c r="K252" s="31"/>
      <c r="L252" s="24">
        <f t="shared" si="97"/>
        <v>0</v>
      </c>
      <c r="M252" s="30">
        <v>507538.44</v>
      </c>
      <c r="N252" s="30"/>
      <c r="O252" s="30"/>
      <c r="P252" s="30"/>
    </row>
    <row r="253" spans="1:16" s="1" customFormat="1">
      <c r="A253" s="28"/>
      <c r="B253" s="34" t="s">
        <v>25</v>
      </c>
      <c r="C253" s="24">
        <f t="shared" si="96"/>
        <v>0</v>
      </c>
      <c r="D253" s="30">
        <v>6533.1</v>
      </c>
      <c r="E253" s="30"/>
      <c r="F253" s="30"/>
      <c r="G253" s="30"/>
      <c r="H253" s="31"/>
      <c r="I253" s="31"/>
      <c r="J253" s="31"/>
      <c r="K253" s="31"/>
      <c r="L253" s="24">
        <f t="shared" si="97"/>
        <v>0</v>
      </c>
      <c r="M253" s="30">
        <v>6533.1</v>
      </c>
      <c r="N253" s="30"/>
      <c r="O253" s="30"/>
      <c r="P253" s="30"/>
    </row>
    <row r="254" spans="1:16" s="1" customFormat="1">
      <c r="A254" s="28"/>
      <c r="B254" s="32" t="s">
        <v>26</v>
      </c>
      <c r="C254" s="24">
        <f t="shared" si="96"/>
        <v>0</v>
      </c>
      <c r="D254" s="30">
        <v>1300.5999999999999</v>
      </c>
      <c r="E254" s="30"/>
      <c r="F254" s="30"/>
      <c r="G254" s="30"/>
      <c r="H254" s="31"/>
      <c r="I254" s="31"/>
      <c r="J254" s="31"/>
      <c r="K254" s="31"/>
      <c r="L254" s="24">
        <f t="shared" si="97"/>
        <v>0</v>
      </c>
      <c r="M254" s="30">
        <v>1300.5999999999999</v>
      </c>
      <c r="N254" s="30"/>
      <c r="O254" s="30"/>
      <c r="P254" s="30"/>
    </row>
    <row r="255" spans="1:16" s="1" customFormat="1" ht="30">
      <c r="A255" s="28"/>
      <c r="B255" s="35" t="s">
        <v>27</v>
      </c>
      <c r="C255" s="36">
        <f t="shared" ref="C255:G255" si="98">SUM(C256:C259)</f>
        <v>0</v>
      </c>
      <c r="D255" s="36">
        <f t="shared" si="98"/>
        <v>276119.38</v>
      </c>
      <c r="E255" s="36">
        <f t="shared" si="98"/>
        <v>0</v>
      </c>
      <c r="F255" s="36">
        <f t="shared" si="98"/>
        <v>0</v>
      </c>
      <c r="G255" s="36">
        <f t="shared" si="98"/>
        <v>0</v>
      </c>
      <c r="H255" s="31"/>
      <c r="I255" s="31"/>
      <c r="J255" s="31"/>
      <c r="K255" s="31"/>
      <c r="L255" s="36">
        <f t="shared" ref="L255:P255" si="99">SUM(L256:L259)</f>
        <v>0</v>
      </c>
      <c r="M255" s="36">
        <f t="shared" si="99"/>
        <v>276119.38</v>
      </c>
      <c r="N255" s="36">
        <f t="shared" si="99"/>
        <v>0</v>
      </c>
      <c r="O255" s="36">
        <f t="shared" si="99"/>
        <v>0</v>
      </c>
      <c r="P255" s="36">
        <f t="shared" si="99"/>
        <v>0</v>
      </c>
    </row>
    <row r="256" spans="1:16" s="1" customFormat="1">
      <c r="A256" s="28"/>
      <c r="B256" s="38" t="s">
        <v>28</v>
      </c>
      <c r="C256" s="24">
        <f t="shared" ref="C256:C266" si="100">E256+F256+G256</f>
        <v>0</v>
      </c>
      <c r="D256" s="30">
        <v>89249.21</v>
      </c>
      <c r="E256" s="30"/>
      <c r="F256" s="30"/>
      <c r="G256" s="30"/>
      <c r="H256" s="31"/>
      <c r="I256" s="31"/>
      <c r="J256" s="31"/>
      <c r="K256" s="31"/>
      <c r="L256" s="24">
        <f t="shared" ref="L256:L266" si="101">N256+O256+P256</f>
        <v>0</v>
      </c>
      <c r="M256" s="30">
        <v>89249.21</v>
      </c>
      <c r="N256" s="30"/>
      <c r="O256" s="30"/>
      <c r="P256" s="30"/>
    </row>
    <row r="257" spans="1:16" s="1" customFormat="1">
      <c r="A257" s="28"/>
      <c r="B257" s="38" t="s">
        <v>29</v>
      </c>
      <c r="C257" s="24">
        <f t="shared" si="100"/>
        <v>0</v>
      </c>
      <c r="D257" s="30">
        <v>178128.17</v>
      </c>
      <c r="E257" s="30"/>
      <c r="F257" s="30"/>
      <c r="G257" s="30"/>
      <c r="H257" s="31"/>
      <c r="I257" s="31"/>
      <c r="J257" s="31"/>
      <c r="K257" s="31"/>
      <c r="L257" s="24">
        <f t="shared" si="101"/>
        <v>0</v>
      </c>
      <c r="M257" s="30">
        <v>178128.17</v>
      </c>
      <c r="N257" s="30"/>
      <c r="O257" s="30"/>
      <c r="P257" s="30"/>
    </row>
    <row r="258" spans="1:16" s="1" customFormat="1">
      <c r="A258" s="28"/>
      <c r="B258" s="38" t="s">
        <v>30</v>
      </c>
      <c r="C258" s="24">
        <f t="shared" si="100"/>
        <v>0</v>
      </c>
      <c r="D258" s="30"/>
      <c r="E258" s="30"/>
      <c r="F258" s="30"/>
      <c r="G258" s="30"/>
      <c r="H258" s="31"/>
      <c r="I258" s="31"/>
      <c r="J258" s="31"/>
      <c r="K258" s="31"/>
      <c r="L258" s="24">
        <f t="shared" si="101"/>
        <v>0</v>
      </c>
      <c r="M258" s="30"/>
      <c r="N258" s="30"/>
      <c r="O258" s="30"/>
      <c r="P258" s="30"/>
    </row>
    <row r="259" spans="1:16" s="1" customFormat="1">
      <c r="A259" s="28"/>
      <c r="B259" s="38" t="s">
        <v>31</v>
      </c>
      <c r="C259" s="24">
        <f t="shared" si="100"/>
        <v>0</v>
      </c>
      <c r="D259" s="30">
        <v>8742</v>
      </c>
      <c r="E259" s="30"/>
      <c r="F259" s="30"/>
      <c r="G259" s="30"/>
      <c r="H259" s="31"/>
      <c r="I259" s="31"/>
      <c r="J259" s="31"/>
      <c r="K259" s="31"/>
      <c r="L259" s="24">
        <f t="shared" si="101"/>
        <v>0</v>
      </c>
      <c r="M259" s="30">
        <v>8742</v>
      </c>
      <c r="N259" s="30"/>
      <c r="O259" s="30"/>
      <c r="P259" s="30"/>
    </row>
    <row r="260" spans="1:16" s="1" customFormat="1" ht="30">
      <c r="A260" s="28"/>
      <c r="B260" s="39" t="s">
        <v>32</v>
      </c>
      <c r="C260" s="24">
        <f t="shared" si="100"/>
        <v>0</v>
      </c>
      <c r="D260" s="30"/>
      <c r="E260" s="30"/>
      <c r="F260" s="30"/>
      <c r="G260" s="30"/>
      <c r="H260" s="31"/>
      <c r="I260" s="31"/>
      <c r="J260" s="31"/>
      <c r="K260" s="31"/>
      <c r="L260" s="24">
        <f t="shared" si="101"/>
        <v>0</v>
      </c>
      <c r="M260" s="30"/>
      <c r="N260" s="30"/>
      <c r="O260" s="30"/>
      <c r="P260" s="30"/>
    </row>
    <row r="261" spans="1:16" s="1" customFormat="1" ht="30">
      <c r="A261" s="28"/>
      <c r="B261" s="39" t="s">
        <v>33</v>
      </c>
      <c r="C261" s="24">
        <f t="shared" si="100"/>
        <v>28418</v>
      </c>
      <c r="D261" s="30">
        <f>8035.33+1296</f>
        <v>9331.33</v>
      </c>
      <c r="E261" s="30">
        <f>5035+1387+9396+12600</f>
        <v>28418</v>
      </c>
      <c r="F261" s="30"/>
      <c r="G261" s="30"/>
      <c r="H261" s="31"/>
      <c r="I261" s="31"/>
      <c r="J261" s="31"/>
      <c r="K261" s="31"/>
      <c r="L261" s="24">
        <f t="shared" si="101"/>
        <v>0</v>
      </c>
      <c r="M261" s="30">
        <f>8035.33+1296</f>
        <v>9331.33</v>
      </c>
      <c r="N261" s="30"/>
      <c r="O261" s="30"/>
      <c r="P261" s="30"/>
    </row>
    <row r="262" spans="1:16" s="1" customFormat="1" ht="30">
      <c r="A262" s="28"/>
      <c r="B262" s="40" t="s">
        <v>34</v>
      </c>
      <c r="C262" s="24">
        <f t="shared" si="100"/>
        <v>0</v>
      </c>
      <c r="D262" s="30"/>
      <c r="E262" s="30"/>
      <c r="F262" s="30"/>
      <c r="G262" s="30"/>
      <c r="H262" s="31"/>
      <c r="I262" s="31"/>
      <c r="J262" s="31"/>
      <c r="K262" s="31"/>
      <c r="L262" s="24">
        <f t="shared" si="101"/>
        <v>0</v>
      </c>
      <c r="M262" s="30"/>
      <c r="N262" s="30"/>
      <c r="O262" s="30"/>
      <c r="P262" s="30"/>
    </row>
    <row r="263" spans="1:16" s="1" customFormat="1">
      <c r="A263" s="28"/>
      <c r="B263" s="40" t="s">
        <v>35</v>
      </c>
      <c r="C263" s="24">
        <f t="shared" si="100"/>
        <v>28600</v>
      </c>
      <c r="D263" s="30">
        <f>1770+2651.45</f>
        <v>4421.45</v>
      </c>
      <c r="E263" s="30">
        <f>8600+20000</f>
        <v>28600</v>
      </c>
      <c r="F263" s="30"/>
      <c r="G263" s="30"/>
      <c r="H263" s="31"/>
      <c r="I263" s="31"/>
      <c r="J263" s="31"/>
      <c r="K263" s="31"/>
      <c r="L263" s="24">
        <f t="shared" si="101"/>
        <v>0</v>
      </c>
      <c r="M263" s="30">
        <f>1770+2651.45</f>
        <v>4421.45</v>
      </c>
      <c r="N263" s="30"/>
      <c r="O263" s="30"/>
      <c r="P263" s="30"/>
    </row>
    <row r="264" spans="1:16" s="1" customFormat="1" ht="30">
      <c r="A264" s="28"/>
      <c r="B264" s="41" t="s">
        <v>36</v>
      </c>
      <c r="C264" s="24">
        <f t="shared" si="100"/>
        <v>0</v>
      </c>
      <c r="D264" s="30"/>
      <c r="E264" s="30"/>
      <c r="F264" s="30"/>
      <c r="G264" s="30"/>
      <c r="H264" s="31"/>
      <c r="I264" s="31"/>
      <c r="J264" s="31"/>
      <c r="K264" s="31"/>
      <c r="L264" s="24">
        <f t="shared" si="101"/>
        <v>0</v>
      </c>
      <c r="M264" s="30"/>
      <c r="N264" s="30"/>
      <c r="O264" s="30"/>
      <c r="P264" s="30"/>
    </row>
    <row r="265" spans="1:16" s="1" customFormat="1">
      <c r="A265" s="28"/>
      <c r="B265" s="42" t="s">
        <v>37</v>
      </c>
      <c r="C265" s="24">
        <f t="shared" si="100"/>
        <v>0</v>
      </c>
      <c r="D265" s="30"/>
      <c r="E265" s="30"/>
      <c r="F265" s="30"/>
      <c r="G265" s="30"/>
      <c r="H265" s="31"/>
      <c r="I265" s="31"/>
      <c r="J265" s="31"/>
      <c r="K265" s="31"/>
      <c r="L265" s="24">
        <f t="shared" si="101"/>
        <v>0</v>
      </c>
      <c r="M265" s="30"/>
      <c r="N265" s="30"/>
      <c r="O265" s="30"/>
      <c r="P265" s="30"/>
    </row>
    <row r="266" spans="1:16" s="1" customFormat="1" ht="30">
      <c r="A266" s="28"/>
      <c r="B266" s="42" t="s">
        <v>38</v>
      </c>
      <c r="C266" s="24">
        <f t="shared" si="100"/>
        <v>0</v>
      </c>
      <c r="D266" s="30">
        <f>33680+217550+30000+22100+9240+65000</f>
        <v>377570</v>
      </c>
      <c r="E266" s="30"/>
      <c r="F266" s="30"/>
      <c r="G266" s="30"/>
      <c r="H266" s="31"/>
      <c r="I266" s="31"/>
      <c r="J266" s="31"/>
      <c r="K266" s="31"/>
      <c r="L266" s="24">
        <f t="shared" si="101"/>
        <v>0</v>
      </c>
      <c r="M266" s="30">
        <f>33680+217550+30000+22100+9240+65000</f>
        <v>377570</v>
      </c>
      <c r="N266" s="30"/>
      <c r="O266" s="30"/>
      <c r="P266" s="30"/>
    </row>
    <row r="267" spans="1:16" s="1" customFormat="1" ht="30">
      <c r="A267" s="28"/>
      <c r="B267" s="43" t="s">
        <v>39</v>
      </c>
      <c r="C267" s="36">
        <f t="shared" ref="C267:G267" si="102">SUM(C268:C274)</f>
        <v>1438411.94</v>
      </c>
      <c r="D267" s="36">
        <f t="shared" si="102"/>
        <v>331086.53000000003</v>
      </c>
      <c r="E267" s="36">
        <f t="shared" si="102"/>
        <v>874406.82</v>
      </c>
      <c r="F267" s="36">
        <f t="shared" si="102"/>
        <v>564005.12</v>
      </c>
      <c r="G267" s="36">
        <f t="shared" si="102"/>
        <v>0</v>
      </c>
      <c r="H267" s="31"/>
      <c r="I267" s="31"/>
      <c r="J267" s="31"/>
      <c r="K267" s="31"/>
      <c r="L267" s="36">
        <f t="shared" ref="L267:P267" si="103">SUM(L268:L274)</f>
        <v>0</v>
      </c>
      <c r="M267" s="36">
        <f t="shared" si="103"/>
        <v>331086.53000000003</v>
      </c>
      <c r="N267" s="36">
        <f t="shared" si="103"/>
        <v>0</v>
      </c>
      <c r="O267" s="36">
        <f t="shared" si="103"/>
        <v>0</v>
      </c>
      <c r="P267" s="36">
        <f t="shared" si="103"/>
        <v>0</v>
      </c>
    </row>
    <row r="268" spans="1:16" s="1" customFormat="1" ht="30">
      <c r="A268" s="28" t="s">
        <v>40</v>
      </c>
      <c r="B268" s="39" t="s">
        <v>41</v>
      </c>
      <c r="C268" s="24">
        <f t="shared" ref="C268:C274" si="104">E268+F268+G268</f>
        <v>0</v>
      </c>
      <c r="D268" s="30"/>
      <c r="E268" s="30"/>
      <c r="F268" s="30"/>
      <c r="G268" s="30"/>
      <c r="H268" s="31"/>
      <c r="I268" s="31"/>
      <c r="J268" s="31"/>
      <c r="K268" s="31"/>
      <c r="L268" s="24">
        <f t="shared" ref="L268:L274" si="105">N268+O268+P268</f>
        <v>0</v>
      </c>
      <c r="M268" s="30"/>
      <c r="N268" s="30"/>
      <c r="O268" s="30"/>
      <c r="P268" s="30"/>
    </row>
    <row r="269" spans="1:16" s="1" customFormat="1">
      <c r="A269" s="28"/>
      <c r="B269" s="39" t="s">
        <v>42</v>
      </c>
      <c r="C269" s="24">
        <f t="shared" si="104"/>
        <v>0</v>
      </c>
      <c r="D269" s="30"/>
      <c r="E269" s="30"/>
      <c r="F269" s="30"/>
      <c r="G269" s="30"/>
      <c r="H269" s="31"/>
      <c r="I269" s="31"/>
      <c r="J269" s="31"/>
      <c r="K269" s="31"/>
      <c r="L269" s="24">
        <f t="shared" si="105"/>
        <v>0</v>
      </c>
      <c r="M269" s="30"/>
      <c r="N269" s="30"/>
      <c r="O269" s="30"/>
      <c r="P269" s="30"/>
    </row>
    <row r="270" spans="1:16" s="1" customFormat="1">
      <c r="A270" s="28"/>
      <c r="B270" s="39" t="s">
        <v>43</v>
      </c>
      <c r="C270" s="24">
        <f t="shared" si="104"/>
        <v>0</v>
      </c>
      <c r="D270" s="30">
        <v>3942</v>
      </c>
      <c r="E270" s="30"/>
      <c r="F270" s="30"/>
      <c r="G270" s="30"/>
      <c r="H270" s="31"/>
      <c r="I270" s="31"/>
      <c r="J270" s="31"/>
      <c r="K270" s="31"/>
      <c r="L270" s="24">
        <f t="shared" si="105"/>
        <v>0</v>
      </c>
      <c r="M270" s="30">
        <v>3942</v>
      </c>
      <c r="N270" s="30"/>
      <c r="O270" s="30"/>
      <c r="P270" s="30"/>
    </row>
    <row r="271" spans="1:16" s="1" customFormat="1">
      <c r="A271" s="28"/>
      <c r="B271" s="39" t="s">
        <v>44</v>
      </c>
      <c r="C271" s="24">
        <f t="shared" si="104"/>
        <v>1338411.94</v>
      </c>
      <c r="D271" s="30">
        <f>39762.5+108960+84186.94</f>
        <v>232909.44</v>
      </c>
      <c r="E271" s="30">
        <f>488110.29+186296.53+100065.71+99934.29</f>
        <v>874406.82</v>
      </c>
      <c r="F271" s="30">
        <f>53368.18+241060.07+97908.63+7798.2+63870.04</f>
        <v>464005.12</v>
      </c>
      <c r="G271" s="30"/>
      <c r="H271" s="31"/>
      <c r="I271" s="31"/>
      <c r="J271" s="31"/>
      <c r="K271" s="31"/>
      <c r="L271" s="24">
        <f t="shared" si="105"/>
        <v>0</v>
      </c>
      <c r="M271" s="30">
        <f>39762.5+108960+84186.94</f>
        <v>232909.44</v>
      </c>
      <c r="N271" s="30"/>
      <c r="O271" s="30"/>
      <c r="P271" s="30"/>
    </row>
    <row r="272" spans="1:16" s="1" customFormat="1">
      <c r="A272" s="28"/>
      <c r="B272" s="39" t="s">
        <v>45</v>
      </c>
      <c r="C272" s="24">
        <f t="shared" si="104"/>
        <v>0</v>
      </c>
      <c r="D272" s="30"/>
      <c r="E272" s="30"/>
      <c r="F272" s="30"/>
      <c r="G272" s="30"/>
      <c r="H272" s="31"/>
      <c r="I272" s="31"/>
      <c r="J272" s="31"/>
      <c r="K272" s="31"/>
      <c r="L272" s="24">
        <f t="shared" si="105"/>
        <v>0</v>
      </c>
      <c r="M272" s="30"/>
      <c r="N272" s="30"/>
      <c r="O272" s="30"/>
      <c r="P272" s="30"/>
    </row>
    <row r="273" spans="1:16" s="1" customFormat="1" ht="30">
      <c r="A273" s="28"/>
      <c r="B273" s="39" t="s">
        <v>46</v>
      </c>
      <c r="C273" s="24">
        <f t="shared" si="104"/>
        <v>0</v>
      </c>
      <c r="D273" s="30"/>
      <c r="E273" s="30"/>
      <c r="F273" s="30"/>
      <c r="G273" s="30"/>
      <c r="H273" s="31"/>
      <c r="I273" s="31"/>
      <c r="J273" s="31"/>
      <c r="K273" s="31"/>
      <c r="L273" s="24">
        <f t="shared" si="105"/>
        <v>0</v>
      </c>
      <c r="M273" s="30"/>
      <c r="N273" s="30"/>
      <c r="O273" s="30"/>
      <c r="P273" s="30"/>
    </row>
    <row r="274" spans="1:16" s="1" customFormat="1">
      <c r="A274" s="28"/>
      <c r="B274" s="39" t="s">
        <v>47</v>
      </c>
      <c r="C274" s="24">
        <f t="shared" si="104"/>
        <v>100000</v>
      </c>
      <c r="D274" s="30">
        <f>77+11705+956+32914+10973.42+2159+12000+20040+3410.67</f>
        <v>94235.09</v>
      </c>
      <c r="E274" s="30"/>
      <c r="F274" s="30">
        <f>100000</f>
        <v>100000</v>
      </c>
      <c r="G274" s="30"/>
      <c r="H274" s="31"/>
      <c r="I274" s="31"/>
      <c r="J274" s="31"/>
      <c r="K274" s="31"/>
      <c r="L274" s="24">
        <f t="shared" si="105"/>
        <v>0</v>
      </c>
      <c r="M274" s="30">
        <f>77+11705+956+32914+10973.42+2159+12000+20040+3410.67</f>
        <v>94235.09</v>
      </c>
      <c r="N274" s="30"/>
      <c r="O274" s="30"/>
      <c r="P274" s="30"/>
    </row>
    <row r="275" spans="1:16" s="1" customFormat="1" ht="36.75" customHeight="1">
      <c r="A275" s="211" t="s">
        <v>3</v>
      </c>
      <c r="B275" s="213" t="s">
        <v>4</v>
      </c>
      <c r="C275" s="213" t="s">
        <v>5</v>
      </c>
      <c r="D275" s="10" t="s">
        <v>6</v>
      </c>
      <c r="E275" s="215" t="s">
        <v>7</v>
      </c>
      <c r="F275" s="216"/>
      <c r="G275" s="217"/>
      <c r="H275" s="218" t="s">
        <v>8</v>
      </c>
      <c r="I275" s="218"/>
      <c r="J275" s="218"/>
      <c r="K275" s="11"/>
      <c r="L275" s="219" t="s">
        <v>9</v>
      </c>
      <c r="M275" s="12" t="s">
        <v>6</v>
      </c>
      <c r="N275" s="208" t="s">
        <v>10</v>
      </c>
      <c r="O275" s="209"/>
      <c r="P275" s="210"/>
    </row>
    <row r="276" spans="1:16" s="1" customFormat="1" ht="47.25" customHeight="1">
      <c r="A276" s="212"/>
      <c r="B276" s="214"/>
      <c r="C276" s="214"/>
      <c r="D276" s="13" t="s">
        <v>11</v>
      </c>
      <c r="E276" s="13" t="s">
        <v>12</v>
      </c>
      <c r="F276" s="13" t="s">
        <v>13</v>
      </c>
      <c r="G276" s="13" t="s">
        <v>14</v>
      </c>
      <c r="H276" s="14" t="s">
        <v>15</v>
      </c>
      <c r="I276" s="14" t="s">
        <v>16</v>
      </c>
      <c r="J276" s="14" t="s">
        <v>17</v>
      </c>
      <c r="K276" s="14" t="s">
        <v>18</v>
      </c>
      <c r="L276" s="220"/>
      <c r="M276" s="15" t="s">
        <v>11</v>
      </c>
      <c r="N276" s="15" t="s">
        <v>12</v>
      </c>
      <c r="O276" s="15" t="s">
        <v>13</v>
      </c>
      <c r="P276" s="15" t="s">
        <v>14</v>
      </c>
    </row>
    <row r="277" spans="1:16" s="1" customFormat="1">
      <c r="A277" s="16">
        <v>10</v>
      </c>
      <c r="B277" s="17" t="s">
        <v>56</v>
      </c>
      <c r="C277" s="18">
        <f t="shared" ref="C277:G277" si="106">C278+C279+C280+C281+C282+C283+C284+C285+C290+C291+C292+C293+C294+C295+C296+C297</f>
        <v>137381.92000000001</v>
      </c>
      <c r="D277" s="18">
        <f t="shared" si="106"/>
        <v>164846.25</v>
      </c>
      <c r="E277" s="18">
        <f t="shared" si="106"/>
        <v>31426.6</v>
      </c>
      <c r="F277" s="18">
        <f t="shared" si="106"/>
        <v>105955.32</v>
      </c>
      <c r="G277" s="18">
        <f t="shared" si="106"/>
        <v>0</v>
      </c>
      <c r="H277" s="19"/>
      <c r="I277" s="20"/>
      <c r="J277" s="20"/>
      <c r="K277" s="11"/>
      <c r="L277" s="18">
        <f t="shared" ref="L277:P277" si="107">L278+L279+L280+L281+L282+L283+L284+L285+L290+L291+L292+L293+L294+L295+L296+L297</f>
        <v>0</v>
      </c>
      <c r="M277" s="18">
        <f t="shared" si="107"/>
        <v>164846.25</v>
      </c>
      <c r="N277" s="18">
        <f t="shared" si="107"/>
        <v>0</v>
      </c>
      <c r="O277" s="18">
        <f t="shared" si="107"/>
        <v>0</v>
      </c>
      <c r="P277" s="18">
        <f t="shared" si="107"/>
        <v>0</v>
      </c>
    </row>
    <row r="278" spans="1:16" s="1" customFormat="1">
      <c r="A278" s="22"/>
      <c r="B278" s="23" t="s">
        <v>20</v>
      </c>
      <c r="C278" s="24">
        <f t="shared" ref="C278:C284" si="108">E278+F278+G278</f>
        <v>105955.32</v>
      </c>
      <c r="D278" s="25"/>
      <c r="E278" s="25"/>
      <c r="F278" s="25">
        <v>105955.32</v>
      </c>
      <c r="G278" s="25"/>
      <c r="H278" s="26"/>
      <c r="I278" s="24"/>
      <c r="J278" s="24"/>
      <c r="K278" s="27"/>
      <c r="L278" s="24">
        <f t="shared" ref="L278:L284" si="109">N278+O278+P278</f>
        <v>0</v>
      </c>
      <c r="M278" s="25"/>
      <c r="N278" s="25"/>
      <c r="O278" s="25"/>
      <c r="P278" s="25"/>
    </row>
    <row r="279" spans="1:16" s="1" customFormat="1">
      <c r="A279" s="28"/>
      <c r="B279" s="29" t="s">
        <v>21</v>
      </c>
      <c r="C279" s="24">
        <f t="shared" si="108"/>
        <v>0</v>
      </c>
      <c r="D279" s="30">
        <v>276.81</v>
      </c>
      <c r="E279" s="30"/>
      <c r="F279" s="30"/>
      <c r="G279" s="30"/>
      <c r="H279" s="31"/>
      <c r="I279" s="31"/>
      <c r="J279" s="31"/>
      <c r="K279" s="31"/>
      <c r="L279" s="24">
        <f t="shared" si="109"/>
        <v>0</v>
      </c>
      <c r="M279" s="30">
        <v>276.81</v>
      </c>
      <c r="N279" s="30"/>
      <c r="O279" s="30"/>
      <c r="P279" s="30"/>
    </row>
    <row r="280" spans="1:16" s="1" customFormat="1">
      <c r="A280" s="28"/>
      <c r="B280" s="32" t="s">
        <v>22</v>
      </c>
      <c r="C280" s="24">
        <f t="shared" si="108"/>
        <v>0</v>
      </c>
      <c r="D280" s="30"/>
      <c r="E280" s="30"/>
      <c r="F280" s="30"/>
      <c r="G280" s="30"/>
      <c r="H280" s="31"/>
      <c r="I280" s="31"/>
      <c r="J280" s="31"/>
      <c r="K280" s="31"/>
      <c r="L280" s="24">
        <f t="shared" si="109"/>
        <v>0</v>
      </c>
      <c r="M280" s="30"/>
      <c r="N280" s="30"/>
      <c r="O280" s="30"/>
      <c r="P280" s="30"/>
    </row>
    <row r="281" spans="1:16" s="1" customFormat="1">
      <c r="A281" s="28"/>
      <c r="B281" s="32" t="s">
        <v>23</v>
      </c>
      <c r="C281" s="24">
        <f t="shared" si="108"/>
        <v>0</v>
      </c>
      <c r="D281" s="30"/>
      <c r="E281" s="30"/>
      <c r="F281" s="30"/>
      <c r="G281" s="30"/>
      <c r="H281" s="31"/>
      <c r="I281" s="31"/>
      <c r="J281" s="31"/>
      <c r="K281" s="31"/>
      <c r="L281" s="24">
        <f t="shared" si="109"/>
        <v>0</v>
      </c>
      <c r="M281" s="30"/>
      <c r="N281" s="30"/>
      <c r="O281" s="30"/>
      <c r="P281" s="30"/>
    </row>
    <row r="282" spans="1:16" s="1" customFormat="1">
      <c r="A282" s="28"/>
      <c r="B282" s="29" t="s">
        <v>24</v>
      </c>
      <c r="C282" s="24">
        <f t="shared" si="108"/>
        <v>0</v>
      </c>
      <c r="D282" s="33">
        <v>64377.35</v>
      </c>
      <c r="E282" s="30"/>
      <c r="F282" s="30"/>
      <c r="G282" s="30"/>
      <c r="H282" s="31"/>
      <c r="I282" s="31"/>
      <c r="J282" s="31"/>
      <c r="K282" s="31"/>
      <c r="L282" s="24">
        <f t="shared" si="109"/>
        <v>0</v>
      </c>
      <c r="M282" s="33">
        <v>64377.35</v>
      </c>
      <c r="N282" s="30"/>
      <c r="O282" s="30"/>
      <c r="P282" s="30"/>
    </row>
    <row r="283" spans="1:16" s="1" customFormat="1">
      <c r="A283" s="28"/>
      <c r="B283" s="34" t="s">
        <v>25</v>
      </c>
      <c r="C283" s="24">
        <f t="shared" si="108"/>
        <v>6911.39</v>
      </c>
      <c r="D283" s="30"/>
      <c r="E283" s="30">
        <v>6911.39</v>
      </c>
      <c r="F283" s="30"/>
      <c r="G283" s="30"/>
      <c r="H283" s="31"/>
      <c r="I283" s="31"/>
      <c r="J283" s="31"/>
      <c r="K283" s="31"/>
      <c r="L283" s="24">
        <f t="shared" si="109"/>
        <v>0</v>
      </c>
      <c r="M283" s="30"/>
      <c r="N283" s="30"/>
      <c r="O283" s="30"/>
      <c r="P283" s="30"/>
    </row>
    <row r="284" spans="1:16" s="1" customFormat="1">
      <c r="A284" s="28"/>
      <c r="B284" s="32" t="s">
        <v>26</v>
      </c>
      <c r="C284" s="24">
        <f t="shared" si="108"/>
        <v>0</v>
      </c>
      <c r="D284" s="30"/>
      <c r="E284" s="30"/>
      <c r="F284" s="30"/>
      <c r="G284" s="30"/>
      <c r="H284" s="31"/>
      <c r="I284" s="31"/>
      <c r="J284" s="31"/>
      <c r="K284" s="31"/>
      <c r="L284" s="24">
        <f t="shared" si="109"/>
        <v>0</v>
      </c>
      <c r="M284" s="30"/>
      <c r="N284" s="30"/>
      <c r="O284" s="30"/>
      <c r="P284" s="30"/>
    </row>
    <row r="285" spans="1:16" s="1" customFormat="1" ht="30">
      <c r="A285" s="28"/>
      <c r="B285" s="35" t="s">
        <v>27</v>
      </c>
      <c r="C285" s="36">
        <f t="shared" ref="C285:G285" si="110">SUM(C286:C289)</f>
        <v>0</v>
      </c>
      <c r="D285" s="36">
        <f t="shared" si="110"/>
        <v>0</v>
      </c>
      <c r="E285" s="36">
        <f t="shared" si="110"/>
        <v>0</v>
      </c>
      <c r="F285" s="36">
        <f t="shared" si="110"/>
        <v>0</v>
      </c>
      <c r="G285" s="36">
        <f t="shared" si="110"/>
        <v>0</v>
      </c>
      <c r="H285" s="31"/>
      <c r="I285" s="31"/>
      <c r="J285" s="31"/>
      <c r="K285" s="31"/>
      <c r="L285" s="36">
        <f t="shared" ref="L285:P285" si="111">SUM(L286:L289)</f>
        <v>0</v>
      </c>
      <c r="M285" s="36">
        <f t="shared" si="111"/>
        <v>0</v>
      </c>
      <c r="N285" s="36">
        <f t="shared" si="111"/>
        <v>0</v>
      </c>
      <c r="O285" s="36">
        <f t="shared" si="111"/>
        <v>0</v>
      </c>
      <c r="P285" s="36">
        <f t="shared" si="111"/>
        <v>0</v>
      </c>
    </row>
    <row r="286" spans="1:16" s="1" customFormat="1">
      <c r="A286" s="28"/>
      <c r="B286" s="38" t="s">
        <v>28</v>
      </c>
      <c r="C286" s="24">
        <f t="shared" ref="C286:C296" si="112">E286+F286+G286</f>
        <v>0</v>
      </c>
      <c r="D286" s="30"/>
      <c r="E286" s="30"/>
      <c r="F286" s="30"/>
      <c r="G286" s="30"/>
      <c r="H286" s="31"/>
      <c r="I286" s="31"/>
      <c r="J286" s="31"/>
      <c r="K286" s="31"/>
      <c r="L286" s="24">
        <f t="shared" ref="L286:L296" si="113">N286+O286+P286</f>
        <v>0</v>
      </c>
      <c r="M286" s="30"/>
      <c r="N286" s="30"/>
      <c r="O286" s="30"/>
      <c r="P286" s="30"/>
    </row>
    <row r="287" spans="1:16" s="1" customFormat="1">
      <c r="A287" s="28"/>
      <c r="B287" s="38" t="s">
        <v>29</v>
      </c>
      <c r="C287" s="24">
        <f t="shared" si="112"/>
        <v>0</v>
      </c>
      <c r="D287" s="30"/>
      <c r="E287" s="30"/>
      <c r="F287" s="30"/>
      <c r="G287" s="30"/>
      <c r="H287" s="31"/>
      <c r="I287" s="31"/>
      <c r="J287" s="31"/>
      <c r="K287" s="31"/>
      <c r="L287" s="24">
        <f t="shared" si="113"/>
        <v>0</v>
      </c>
      <c r="M287" s="30"/>
      <c r="N287" s="30"/>
      <c r="O287" s="30"/>
      <c r="P287" s="30"/>
    </row>
    <row r="288" spans="1:16" s="1" customFormat="1">
      <c r="A288" s="28"/>
      <c r="B288" s="38" t="s">
        <v>30</v>
      </c>
      <c r="C288" s="24">
        <f t="shared" si="112"/>
        <v>0</v>
      </c>
      <c r="D288" s="30"/>
      <c r="E288" s="30"/>
      <c r="F288" s="30"/>
      <c r="G288" s="30"/>
      <c r="H288" s="31"/>
      <c r="I288" s="31"/>
      <c r="J288" s="31"/>
      <c r="K288" s="31"/>
      <c r="L288" s="24">
        <f t="shared" si="113"/>
        <v>0</v>
      </c>
      <c r="M288" s="30"/>
      <c r="N288" s="30"/>
      <c r="O288" s="30"/>
      <c r="P288" s="30"/>
    </row>
    <row r="289" spans="1:16" s="1" customFormat="1">
      <c r="A289" s="28"/>
      <c r="B289" s="38" t="s">
        <v>31</v>
      </c>
      <c r="C289" s="24">
        <f t="shared" si="112"/>
        <v>0</v>
      </c>
      <c r="D289" s="30"/>
      <c r="E289" s="30"/>
      <c r="F289" s="30"/>
      <c r="G289" s="30"/>
      <c r="H289" s="31"/>
      <c r="I289" s="31"/>
      <c r="J289" s="31"/>
      <c r="K289" s="31"/>
      <c r="L289" s="24">
        <f t="shared" si="113"/>
        <v>0</v>
      </c>
      <c r="M289" s="30"/>
      <c r="N289" s="30"/>
      <c r="O289" s="30"/>
      <c r="P289" s="30"/>
    </row>
    <row r="290" spans="1:16" s="1" customFormat="1" ht="30">
      <c r="A290" s="28"/>
      <c r="B290" s="39" t="s">
        <v>32</v>
      </c>
      <c r="C290" s="24">
        <f t="shared" si="112"/>
        <v>0</v>
      </c>
      <c r="D290" s="30"/>
      <c r="E290" s="30"/>
      <c r="F290" s="30"/>
      <c r="G290" s="30"/>
      <c r="H290" s="31"/>
      <c r="I290" s="31"/>
      <c r="J290" s="31"/>
      <c r="K290" s="31"/>
      <c r="L290" s="24">
        <f t="shared" si="113"/>
        <v>0</v>
      </c>
      <c r="M290" s="30"/>
      <c r="N290" s="30"/>
      <c r="O290" s="30"/>
      <c r="P290" s="30"/>
    </row>
    <row r="291" spans="1:16" s="1" customFormat="1" ht="30">
      <c r="A291" s="28"/>
      <c r="B291" s="39" t="s">
        <v>33</v>
      </c>
      <c r="C291" s="24">
        <f t="shared" si="112"/>
        <v>24515.200000000001</v>
      </c>
      <c r="D291" s="30"/>
      <c r="E291" s="30">
        <f>8400+1387+14728.2</f>
        <v>24515.200000000001</v>
      </c>
      <c r="F291" s="30"/>
      <c r="G291" s="30"/>
      <c r="H291" s="31"/>
      <c r="I291" s="31"/>
      <c r="J291" s="31"/>
      <c r="K291" s="31"/>
      <c r="L291" s="24">
        <f t="shared" si="113"/>
        <v>0</v>
      </c>
      <c r="M291" s="30"/>
      <c r="N291" s="30"/>
      <c r="O291" s="30"/>
      <c r="P291" s="30"/>
    </row>
    <row r="292" spans="1:16" s="1" customFormat="1" ht="30">
      <c r="A292" s="28"/>
      <c r="B292" s="40" t="s">
        <v>34</v>
      </c>
      <c r="C292" s="24">
        <f t="shared" si="112"/>
        <v>0</v>
      </c>
      <c r="D292" s="24"/>
      <c r="E292" s="24"/>
      <c r="F292" s="30"/>
      <c r="G292" s="30"/>
      <c r="H292" s="31"/>
      <c r="I292" s="31"/>
      <c r="J292" s="31"/>
      <c r="K292" s="31"/>
      <c r="L292" s="24">
        <f t="shared" si="113"/>
        <v>0</v>
      </c>
      <c r="M292" s="24"/>
      <c r="N292" s="24"/>
      <c r="O292" s="30"/>
      <c r="P292" s="30"/>
    </row>
    <row r="293" spans="1:16" s="1" customFormat="1">
      <c r="A293" s="28"/>
      <c r="B293" s="40" t="s">
        <v>35</v>
      </c>
      <c r="C293" s="24">
        <f t="shared" si="112"/>
        <v>0</v>
      </c>
      <c r="D293" s="24">
        <v>579.54</v>
      </c>
      <c r="E293" s="24"/>
      <c r="F293" s="30"/>
      <c r="G293" s="30"/>
      <c r="H293" s="31"/>
      <c r="I293" s="31"/>
      <c r="J293" s="31"/>
      <c r="K293" s="31"/>
      <c r="L293" s="24">
        <f t="shared" si="113"/>
        <v>0</v>
      </c>
      <c r="M293" s="24">
        <v>579.54</v>
      </c>
      <c r="N293" s="24"/>
      <c r="O293" s="30"/>
      <c r="P293" s="30"/>
    </row>
    <row r="294" spans="1:16" s="1" customFormat="1" ht="30">
      <c r="A294" s="28"/>
      <c r="B294" s="41" t="s">
        <v>36</v>
      </c>
      <c r="C294" s="24">
        <f t="shared" si="112"/>
        <v>0</v>
      </c>
      <c r="D294" s="24"/>
      <c r="E294" s="24"/>
      <c r="F294" s="30"/>
      <c r="G294" s="30"/>
      <c r="H294" s="31"/>
      <c r="I294" s="31"/>
      <c r="J294" s="31"/>
      <c r="K294" s="31"/>
      <c r="L294" s="24">
        <f t="shared" si="113"/>
        <v>0</v>
      </c>
      <c r="M294" s="24"/>
      <c r="N294" s="24"/>
      <c r="O294" s="30"/>
      <c r="P294" s="30"/>
    </row>
    <row r="295" spans="1:16" s="1" customFormat="1">
      <c r="A295" s="28"/>
      <c r="B295" s="42" t="s">
        <v>37</v>
      </c>
      <c r="C295" s="24">
        <f t="shared" si="112"/>
        <v>0.01</v>
      </c>
      <c r="D295" s="24"/>
      <c r="E295" s="24">
        <v>0.01</v>
      </c>
      <c r="F295" s="30"/>
      <c r="G295" s="30"/>
      <c r="H295" s="31"/>
      <c r="I295" s="31"/>
      <c r="J295" s="31"/>
      <c r="K295" s="31"/>
      <c r="L295" s="24">
        <f t="shared" si="113"/>
        <v>0</v>
      </c>
      <c r="M295" s="24"/>
      <c r="N295" s="24"/>
      <c r="O295" s="30"/>
      <c r="P295" s="30"/>
    </row>
    <row r="296" spans="1:16" s="1" customFormat="1" ht="30">
      <c r="A296" s="28"/>
      <c r="B296" s="42" t="s">
        <v>38</v>
      </c>
      <c r="C296" s="24">
        <f t="shared" si="112"/>
        <v>0</v>
      </c>
      <c r="D296" s="24">
        <v>97448</v>
      </c>
      <c r="E296" s="24"/>
      <c r="F296" s="30"/>
      <c r="G296" s="30"/>
      <c r="H296" s="31"/>
      <c r="I296" s="31"/>
      <c r="J296" s="31"/>
      <c r="K296" s="31"/>
      <c r="L296" s="24">
        <f t="shared" si="113"/>
        <v>0</v>
      </c>
      <c r="M296" s="24">
        <v>97448</v>
      </c>
      <c r="N296" s="24"/>
      <c r="O296" s="30"/>
      <c r="P296" s="30"/>
    </row>
    <row r="297" spans="1:16" s="1" customFormat="1" ht="30">
      <c r="A297" s="28"/>
      <c r="B297" s="43" t="s">
        <v>39</v>
      </c>
      <c r="C297" s="36">
        <f t="shared" ref="C297:G297" si="114">SUM(C298:C304)</f>
        <v>0</v>
      </c>
      <c r="D297" s="36">
        <f t="shared" si="114"/>
        <v>2164.5500000000002</v>
      </c>
      <c r="E297" s="36">
        <f t="shared" si="114"/>
        <v>0</v>
      </c>
      <c r="F297" s="36">
        <f t="shared" si="114"/>
        <v>0</v>
      </c>
      <c r="G297" s="36">
        <f t="shared" si="114"/>
        <v>0</v>
      </c>
      <c r="H297" s="31"/>
      <c r="I297" s="31"/>
      <c r="J297" s="31"/>
      <c r="K297" s="31"/>
      <c r="L297" s="36">
        <f t="shared" ref="L297:P297" si="115">SUM(L298:L304)</f>
        <v>0</v>
      </c>
      <c r="M297" s="36">
        <f t="shared" si="115"/>
        <v>2164.5500000000002</v>
      </c>
      <c r="N297" s="36">
        <f t="shared" si="115"/>
        <v>0</v>
      </c>
      <c r="O297" s="36">
        <f t="shared" si="115"/>
        <v>0</v>
      </c>
      <c r="P297" s="36">
        <f t="shared" si="115"/>
        <v>0</v>
      </c>
    </row>
    <row r="298" spans="1:16" s="1" customFormat="1" ht="30">
      <c r="A298" s="28" t="s">
        <v>40</v>
      </c>
      <c r="B298" s="39" t="s">
        <v>41</v>
      </c>
      <c r="C298" s="24">
        <f t="shared" ref="C298:C304" si="116">E298+F298+G298</f>
        <v>0</v>
      </c>
      <c r="D298" s="30"/>
      <c r="E298" s="30"/>
      <c r="F298" s="30"/>
      <c r="G298" s="30"/>
      <c r="H298" s="31"/>
      <c r="I298" s="31"/>
      <c r="J298" s="31"/>
      <c r="K298" s="31"/>
      <c r="L298" s="24">
        <f t="shared" ref="L298:L304" si="117">N298+O298+P298</f>
        <v>0</v>
      </c>
      <c r="M298" s="30"/>
      <c r="N298" s="30"/>
      <c r="O298" s="30"/>
      <c r="P298" s="30"/>
    </row>
    <row r="299" spans="1:16" s="1" customFormat="1">
      <c r="A299" s="28"/>
      <c r="B299" s="39" t="s">
        <v>42</v>
      </c>
      <c r="C299" s="24">
        <f t="shared" si="116"/>
        <v>0</v>
      </c>
      <c r="D299" s="30"/>
      <c r="E299" s="30"/>
      <c r="F299" s="30"/>
      <c r="G299" s="30"/>
      <c r="H299" s="31"/>
      <c r="I299" s="31"/>
      <c r="J299" s="31"/>
      <c r="K299" s="31"/>
      <c r="L299" s="24">
        <f t="shared" si="117"/>
        <v>0</v>
      </c>
      <c r="M299" s="30"/>
      <c r="N299" s="30"/>
      <c r="O299" s="30"/>
      <c r="P299" s="30"/>
    </row>
    <row r="300" spans="1:16" s="1" customFormat="1">
      <c r="A300" s="28"/>
      <c r="B300" s="39" t="s">
        <v>43</v>
      </c>
      <c r="C300" s="24">
        <f t="shared" si="116"/>
        <v>0</v>
      </c>
      <c r="D300" s="30"/>
      <c r="E300" s="30"/>
      <c r="F300" s="30"/>
      <c r="G300" s="30"/>
      <c r="H300" s="31"/>
      <c r="I300" s="31"/>
      <c r="J300" s="31"/>
      <c r="K300" s="31"/>
      <c r="L300" s="24">
        <f t="shared" si="117"/>
        <v>0</v>
      </c>
      <c r="M300" s="30"/>
      <c r="N300" s="30"/>
      <c r="O300" s="30"/>
      <c r="P300" s="30"/>
    </row>
    <row r="301" spans="1:16" s="1" customFormat="1">
      <c r="A301" s="28"/>
      <c r="B301" s="39" t="s">
        <v>44</v>
      </c>
      <c r="C301" s="24">
        <f t="shared" si="116"/>
        <v>0</v>
      </c>
      <c r="D301" s="30">
        <v>2164.5500000000002</v>
      </c>
      <c r="E301" s="30"/>
      <c r="F301" s="30"/>
      <c r="G301" s="30"/>
      <c r="H301" s="31"/>
      <c r="I301" s="31"/>
      <c r="J301" s="31"/>
      <c r="K301" s="31"/>
      <c r="L301" s="24">
        <f t="shared" si="117"/>
        <v>0</v>
      </c>
      <c r="M301" s="30">
        <v>2164.5500000000002</v>
      </c>
      <c r="N301" s="30"/>
      <c r="O301" s="30"/>
      <c r="P301" s="30"/>
    </row>
    <row r="302" spans="1:16" s="1" customFormat="1">
      <c r="A302" s="28"/>
      <c r="B302" s="39" t="s">
        <v>45</v>
      </c>
      <c r="C302" s="24">
        <f t="shared" si="116"/>
        <v>0</v>
      </c>
      <c r="D302" s="30"/>
      <c r="E302" s="30"/>
      <c r="F302" s="30"/>
      <c r="G302" s="30"/>
      <c r="H302" s="31"/>
      <c r="I302" s="31"/>
      <c r="J302" s="31"/>
      <c r="K302" s="31"/>
      <c r="L302" s="24">
        <f t="shared" si="117"/>
        <v>0</v>
      </c>
      <c r="M302" s="30"/>
      <c r="N302" s="30"/>
      <c r="O302" s="30"/>
      <c r="P302" s="30"/>
    </row>
    <row r="303" spans="1:16" s="1" customFormat="1" ht="30">
      <c r="A303" s="28"/>
      <c r="B303" s="39" t="s">
        <v>46</v>
      </c>
      <c r="C303" s="24">
        <f t="shared" si="116"/>
        <v>0</v>
      </c>
      <c r="D303" s="30"/>
      <c r="E303" s="24"/>
      <c r="F303" s="30"/>
      <c r="G303" s="30"/>
      <c r="H303" s="31"/>
      <c r="I303" s="31"/>
      <c r="J303" s="31"/>
      <c r="K303" s="31"/>
      <c r="L303" s="24">
        <f t="shared" si="117"/>
        <v>0</v>
      </c>
      <c r="M303" s="30"/>
      <c r="N303" s="24"/>
      <c r="O303" s="30"/>
      <c r="P303" s="30"/>
    </row>
    <row r="304" spans="1:16" s="1" customFormat="1">
      <c r="A304" s="28"/>
      <c r="B304" s="39" t="s">
        <v>47</v>
      </c>
      <c r="C304" s="24">
        <f t="shared" si="116"/>
        <v>0</v>
      </c>
      <c r="D304" s="30"/>
      <c r="E304" s="30"/>
      <c r="F304" s="30"/>
      <c r="G304" s="30"/>
      <c r="H304" s="31"/>
      <c r="I304" s="31"/>
      <c r="J304" s="31"/>
      <c r="K304" s="31"/>
      <c r="L304" s="24">
        <f t="shared" si="117"/>
        <v>0</v>
      </c>
      <c r="M304" s="30"/>
      <c r="N304" s="30"/>
      <c r="O304" s="30"/>
      <c r="P304" s="30"/>
    </row>
    <row r="305" spans="1:16" s="1" customFormat="1" ht="36.75" customHeight="1">
      <c r="A305" s="211" t="s">
        <v>3</v>
      </c>
      <c r="B305" s="213" t="s">
        <v>4</v>
      </c>
      <c r="C305" s="213" t="s">
        <v>5</v>
      </c>
      <c r="D305" s="10" t="s">
        <v>6</v>
      </c>
      <c r="E305" s="215" t="s">
        <v>7</v>
      </c>
      <c r="F305" s="216"/>
      <c r="G305" s="217"/>
      <c r="H305" s="218" t="s">
        <v>8</v>
      </c>
      <c r="I305" s="218"/>
      <c r="J305" s="218"/>
      <c r="K305" s="11"/>
      <c r="L305" s="219" t="s">
        <v>9</v>
      </c>
      <c r="M305" s="12" t="s">
        <v>6</v>
      </c>
      <c r="N305" s="208" t="s">
        <v>10</v>
      </c>
      <c r="O305" s="209"/>
      <c r="P305" s="210"/>
    </row>
    <row r="306" spans="1:16" s="1" customFormat="1" ht="47.25" customHeight="1">
      <c r="A306" s="212"/>
      <c r="B306" s="214"/>
      <c r="C306" s="214"/>
      <c r="D306" s="13" t="s">
        <v>11</v>
      </c>
      <c r="E306" s="13" t="s">
        <v>12</v>
      </c>
      <c r="F306" s="13" t="s">
        <v>13</v>
      </c>
      <c r="G306" s="13" t="s">
        <v>14</v>
      </c>
      <c r="H306" s="14" t="s">
        <v>15</v>
      </c>
      <c r="I306" s="14" t="s">
        <v>16</v>
      </c>
      <c r="J306" s="14" t="s">
        <v>17</v>
      </c>
      <c r="K306" s="14" t="s">
        <v>18</v>
      </c>
      <c r="L306" s="220"/>
      <c r="M306" s="15" t="s">
        <v>11</v>
      </c>
      <c r="N306" s="15" t="s">
        <v>12</v>
      </c>
      <c r="O306" s="15" t="s">
        <v>13</v>
      </c>
      <c r="P306" s="15" t="s">
        <v>14</v>
      </c>
    </row>
    <row r="307" spans="1:16" s="1" customFormat="1">
      <c r="A307" s="45">
        <v>11</v>
      </c>
      <c r="B307" s="53" t="s">
        <v>57</v>
      </c>
      <c r="C307" s="46">
        <f t="shared" ref="C307:G307" si="118">C308+C309+C310+C311+C312+C313+C314+C315+C320+C321+C322+C323+C324+C325+C326+C327</f>
        <v>648726.52</v>
      </c>
      <c r="D307" s="46">
        <f t="shared" si="118"/>
        <v>761615.92999999993</v>
      </c>
      <c r="E307" s="46">
        <f t="shared" si="118"/>
        <v>167752.84000000003</v>
      </c>
      <c r="F307" s="46">
        <f t="shared" si="118"/>
        <v>122658.42</v>
      </c>
      <c r="G307" s="46">
        <f t="shared" si="118"/>
        <v>358315.26</v>
      </c>
      <c r="H307" s="19"/>
      <c r="I307" s="20"/>
      <c r="J307" s="20"/>
      <c r="K307" s="11"/>
      <c r="L307" s="46">
        <f t="shared" ref="L307:P307" si="119">L308+L309+L310+L311+L312+L313+L314+L315+L320+L321+L322+L323+L324+L325+L326+L327</f>
        <v>0</v>
      </c>
      <c r="M307" s="46">
        <f t="shared" si="119"/>
        <v>761615.92999999993</v>
      </c>
      <c r="N307" s="46">
        <f t="shared" si="119"/>
        <v>0</v>
      </c>
      <c r="O307" s="46">
        <f t="shared" si="119"/>
        <v>0</v>
      </c>
      <c r="P307" s="46">
        <f t="shared" si="119"/>
        <v>0</v>
      </c>
    </row>
    <row r="308" spans="1:16" s="5" customFormat="1">
      <c r="A308" s="22"/>
      <c r="B308" s="54" t="s">
        <v>20</v>
      </c>
      <c r="C308" s="24">
        <f t="shared" ref="C308:C314" si="120">E308+F308+G308</f>
        <v>480973.68</v>
      </c>
      <c r="D308" s="25"/>
      <c r="E308" s="25"/>
      <c r="F308" s="25">
        <v>122658.42</v>
      </c>
      <c r="G308" s="25">
        <v>358315.26</v>
      </c>
      <c r="H308" s="26"/>
      <c r="I308" s="24"/>
      <c r="J308" s="24"/>
      <c r="K308" s="27"/>
      <c r="L308" s="24">
        <f t="shared" ref="L308:L314" si="121">N308+O308+P308</f>
        <v>0</v>
      </c>
      <c r="M308" s="25"/>
      <c r="N308" s="25"/>
      <c r="O308" s="25"/>
      <c r="P308" s="25"/>
    </row>
    <row r="309" spans="1:16" s="1" customFormat="1">
      <c r="A309" s="28"/>
      <c r="B309" s="29" t="s">
        <v>21</v>
      </c>
      <c r="C309" s="24">
        <f t="shared" si="120"/>
        <v>0</v>
      </c>
      <c r="D309" s="55">
        <v>11303.27</v>
      </c>
      <c r="E309" s="30"/>
      <c r="F309" s="30"/>
      <c r="G309" s="30"/>
      <c r="H309" s="31"/>
      <c r="I309" s="31"/>
      <c r="J309" s="31"/>
      <c r="K309" s="31"/>
      <c r="L309" s="24">
        <f t="shared" si="121"/>
        <v>0</v>
      </c>
      <c r="M309" s="55">
        <v>11303.27</v>
      </c>
      <c r="N309" s="30"/>
      <c r="O309" s="30"/>
      <c r="P309" s="30"/>
    </row>
    <row r="310" spans="1:16" s="1" customFormat="1">
      <c r="A310" s="28"/>
      <c r="B310" s="32" t="s">
        <v>22</v>
      </c>
      <c r="C310" s="24">
        <f t="shared" si="120"/>
        <v>0</v>
      </c>
      <c r="D310" s="30"/>
      <c r="E310" s="30"/>
      <c r="F310" s="30"/>
      <c r="G310" s="30"/>
      <c r="H310" s="31"/>
      <c r="I310" s="31"/>
      <c r="J310" s="31"/>
      <c r="K310" s="31"/>
      <c r="L310" s="24">
        <f t="shared" si="121"/>
        <v>0</v>
      </c>
      <c r="M310" s="30"/>
      <c r="N310" s="30"/>
      <c r="O310" s="30"/>
      <c r="P310" s="30"/>
    </row>
    <row r="311" spans="1:16" s="1" customFormat="1">
      <c r="A311" s="28"/>
      <c r="B311" s="32" t="s">
        <v>23</v>
      </c>
      <c r="C311" s="24">
        <f t="shared" si="120"/>
        <v>0</v>
      </c>
      <c r="D311" s="55">
        <v>400</v>
      </c>
      <c r="E311" s="30"/>
      <c r="F311" s="30"/>
      <c r="G311" s="30"/>
      <c r="H311" s="31"/>
      <c r="I311" s="31"/>
      <c r="J311" s="31"/>
      <c r="K311" s="31"/>
      <c r="L311" s="24">
        <f t="shared" si="121"/>
        <v>0</v>
      </c>
      <c r="M311" s="55">
        <v>400</v>
      </c>
      <c r="N311" s="30"/>
      <c r="O311" s="30"/>
      <c r="P311" s="30"/>
    </row>
    <row r="312" spans="1:16" s="1" customFormat="1">
      <c r="A312" s="28"/>
      <c r="B312" s="29" t="s">
        <v>24</v>
      </c>
      <c r="C312" s="24">
        <f t="shared" si="120"/>
        <v>160823.07</v>
      </c>
      <c r="D312" s="55">
        <f>157655.77+2196.73</f>
        <v>159852.5</v>
      </c>
      <c r="E312" s="30">
        <f>134318.3+14805.39+11699.38</f>
        <v>160823.07</v>
      </c>
      <c r="F312" s="30"/>
      <c r="G312" s="30"/>
      <c r="H312" s="31"/>
      <c r="I312" s="31"/>
      <c r="J312" s="31"/>
      <c r="K312" s="31"/>
      <c r="L312" s="24">
        <f t="shared" si="121"/>
        <v>0</v>
      </c>
      <c r="M312" s="55">
        <f>157655.77+2196.73</f>
        <v>159852.5</v>
      </c>
      <c r="N312" s="30"/>
      <c r="O312" s="30"/>
      <c r="P312" s="30"/>
    </row>
    <row r="313" spans="1:16" s="1" customFormat="1">
      <c r="A313" s="28"/>
      <c r="B313" s="34" t="s">
        <v>25</v>
      </c>
      <c r="C313" s="24">
        <f t="shared" si="120"/>
        <v>0</v>
      </c>
      <c r="D313" s="55">
        <v>17457.43</v>
      </c>
      <c r="E313" s="30"/>
      <c r="F313" s="30"/>
      <c r="G313" s="30"/>
      <c r="H313" s="31"/>
      <c r="I313" s="31"/>
      <c r="J313" s="31"/>
      <c r="K313" s="31"/>
      <c r="L313" s="24">
        <f t="shared" si="121"/>
        <v>0</v>
      </c>
      <c r="M313" s="55">
        <v>17457.43</v>
      </c>
      <c r="N313" s="30"/>
      <c r="O313" s="30"/>
      <c r="P313" s="30"/>
    </row>
    <row r="314" spans="1:16" s="1" customFormat="1">
      <c r="A314" s="28"/>
      <c r="B314" s="32" t="s">
        <v>26</v>
      </c>
      <c r="C314" s="24">
        <f t="shared" si="120"/>
        <v>0</v>
      </c>
      <c r="D314" s="30"/>
      <c r="E314" s="30"/>
      <c r="F314" s="30"/>
      <c r="G314" s="30"/>
      <c r="H314" s="31"/>
      <c r="I314" s="31"/>
      <c r="J314" s="31"/>
      <c r="K314" s="31"/>
      <c r="L314" s="24">
        <f t="shared" si="121"/>
        <v>0</v>
      </c>
      <c r="M314" s="30"/>
      <c r="N314" s="30"/>
      <c r="O314" s="30"/>
      <c r="P314" s="30"/>
    </row>
    <row r="315" spans="1:16" s="1" customFormat="1" ht="30">
      <c r="A315" s="28"/>
      <c r="B315" s="35" t="s">
        <v>27</v>
      </c>
      <c r="C315" s="36">
        <f t="shared" ref="C315:G315" si="122">SUM(C316:C319)</f>
        <v>2845.87</v>
      </c>
      <c r="D315" s="36">
        <f t="shared" si="122"/>
        <v>17081.84</v>
      </c>
      <c r="E315" s="36">
        <f t="shared" si="122"/>
        <v>2845.87</v>
      </c>
      <c r="F315" s="36">
        <f t="shared" si="122"/>
        <v>0</v>
      </c>
      <c r="G315" s="36">
        <f t="shared" si="122"/>
        <v>0</v>
      </c>
      <c r="H315" s="31"/>
      <c r="I315" s="31"/>
      <c r="J315" s="31"/>
      <c r="K315" s="31"/>
      <c r="L315" s="36">
        <f t="shared" ref="L315:P315" si="123">SUM(L316:L319)</f>
        <v>0</v>
      </c>
      <c r="M315" s="36">
        <f t="shared" si="123"/>
        <v>17081.84</v>
      </c>
      <c r="N315" s="36">
        <f t="shared" si="123"/>
        <v>0</v>
      </c>
      <c r="O315" s="36">
        <f t="shared" si="123"/>
        <v>0</v>
      </c>
      <c r="P315" s="36">
        <f t="shared" si="123"/>
        <v>0</v>
      </c>
    </row>
    <row r="316" spans="1:16" s="1" customFormat="1">
      <c r="A316" s="28"/>
      <c r="B316" s="38" t="s">
        <v>28</v>
      </c>
      <c r="C316" s="24">
        <f t="shared" ref="C316:C326" si="124">E316+F316+G316</f>
        <v>2845.87</v>
      </c>
      <c r="D316" s="30"/>
      <c r="E316" s="30">
        <v>2845.87</v>
      </c>
      <c r="F316" s="30"/>
      <c r="G316" s="30"/>
      <c r="H316" s="31"/>
      <c r="I316" s="31"/>
      <c r="J316" s="31"/>
      <c r="K316" s="31"/>
      <c r="L316" s="24">
        <f t="shared" ref="L316:L326" si="125">N316+O316+P316</f>
        <v>0</v>
      </c>
      <c r="M316" s="30"/>
      <c r="N316" s="30"/>
      <c r="O316" s="30"/>
      <c r="P316" s="30"/>
    </row>
    <row r="317" spans="1:16" s="1" customFormat="1">
      <c r="A317" s="28"/>
      <c r="B317" s="38" t="s">
        <v>29</v>
      </c>
      <c r="C317" s="24">
        <f t="shared" si="124"/>
        <v>0</v>
      </c>
      <c r="D317" s="30">
        <v>16.54</v>
      </c>
      <c r="E317" s="30"/>
      <c r="F317" s="30"/>
      <c r="G317" s="30"/>
      <c r="H317" s="31"/>
      <c r="I317" s="31"/>
      <c r="J317" s="31"/>
      <c r="K317" s="31"/>
      <c r="L317" s="24">
        <f t="shared" si="125"/>
        <v>0</v>
      </c>
      <c r="M317" s="30">
        <v>16.54</v>
      </c>
      <c r="N317" s="30"/>
      <c r="O317" s="30"/>
      <c r="P317" s="30"/>
    </row>
    <row r="318" spans="1:16" s="1" customFormat="1">
      <c r="A318" s="28"/>
      <c r="B318" s="38" t="s">
        <v>30</v>
      </c>
      <c r="C318" s="24">
        <f t="shared" si="124"/>
        <v>0</v>
      </c>
      <c r="D318" s="30">
        <v>7760.55</v>
      </c>
      <c r="E318" s="30"/>
      <c r="F318" s="30"/>
      <c r="G318" s="30"/>
      <c r="H318" s="31"/>
      <c r="I318" s="31"/>
      <c r="J318" s="31"/>
      <c r="K318" s="31"/>
      <c r="L318" s="24">
        <f t="shared" si="125"/>
        <v>0</v>
      </c>
      <c r="M318" s="30">
        <v>7760.55</v>
      </c>
      <c r="N318" s="30"/>
      <c r="O318" s="30"/>
      <c r="P318" s="30"/>
    </row>
    <row r="319" spans="1:16" s="1" customFormat="1">
      <c r="A319" s="28"/>
      <c r="B319" s="38" t="s">
        <v>31</v>
      </c>
      <c r="C319" s="24">
        <f t="shared" si="124"/>
        <v>0</v>
      </c>
      <c r="D319" s="30">
        <v>9304.75</v>
      </c>
      <c r="E319" s="30"/>
      <c r="F319" s="30"/>
      <c r="G319" s="30"/>
      <c r="H319" s="31"/>
      <c r="I319" s="31"/>
      <c r="J319" s="31"/>
      <c r="K319" s="31"/>
      <c r="L319" s="24">
        <f t="shared" si="125"/>
        <v>0</v>
      </c>
      <c r="M319" s="30">
        <v>9304.75</v>
      </c>
      <c r="N319" s="30"/>
      <c r="O319" s="30"/>
      <c r="P319" s="30"/>
    </row>
    <row r="320" spans="1:16" s="1" customFormat="1" ht="30">
      <c r="A320" s="28"/>
      <c r="B320" s="39" t="s">
        <v>32</v>
      </c>
      <c r="C320" s="24">
        <f t="shared" si="124"/>
        <v>0</v>
      </c>
      <c r="D320" s="30"/>
      <c r="E320" s="30"/>
      <c r="F320" s="30"/>
      <c r="G320" s="30"/>
      <c r="H320" s="31"/>
      <c r="I320" s="31"/>
      <c r="J320" s="31"/>
      <c r="K320" s="31"/>
      <c r="L320" s="24">
        <f t="shared" si="125"/>
        <v>0</v>
      </c>
      <c r="M320" s="30"/>
      <c r="N320" s="30"/>
      <c r="O320" s="30"/>
      <c r="P320" s="30"/>
    </row>
    <row r="321" spans="1:16" s="1" customFormat="1" ht="30">
      <c r="A321" s="28"/>
      <c r="B321" s="39" t="s">
        <v>33</v>
      </c>
      <c r="C321" s="24">
        <f t="shared" si="124"/>
        <v>3589.73</v>
      </c>
      <c r="D321" s="30"/>
      <c r="E321" s="30">
        <f>3589.73</f>
        <v>3589.73</v>
      </c>
      <c r="F321" s="30"/>
      <c r="G321" s="30"/>
      <c r="H321" s="31"/>
      <c r="I321" s="31"/>
      <c r="J321" s="31"/>
      <c r="K321" s="31"/>
      <c r="L321" s="24">
        <f t="shared" si="125"/>
        <v>0</v>
      </c>
      <c r="M321" s="30"/>
      <c r="N321" s="30"/>
      <c r="O321" s="30"/>
      <c r="P321" s="30"/>
    </row>
    <row r="322" spans="1:16" s="1" customFormat="1" ht="30">
      <c r="A322" s="28"/>
      <c r="B322" s="40" t="s">
        <v>34</v>
      </c>
      <c r="C322" s="24">
        <f t="shared" si="124"/>
        <v>0</v>
      </c>
      <c r="D322" s="30"/>
      <c r="E322" s="30"/>
      <c r="F322" s="30"/>
      <c r="G322" s="30"/>
      <c r="H322" s="31"/>
      <c r="I322" s="31"/>
      <c r="J322" s="31"/>
      <c r="K322" s="31"/>
      <c r="L322" s="24">
        <f t="shared" si="125"/>
        <v>0</v>
      </c>
      <c r="M322" s="30"/>
      <c r="N322" s="30"/>
      <c r="O322" s="30"/>
      <c r="P322" s="30"/>
    </row>
    <row r="323" spans="1:16" s="1" customFormat="1">
      <c r="A323" s="28"/>
      <c r="B323" s="40" t="s">
        <v>35</v>
      </c>
      <c r="C323" s="24">
        <f t="shared" si="124"/>
        <v>0</v>
      </c>
      <c r="D323" s="30"/>
      <c r="E323" s="30"/>
      <c r="F323" s="30"/>
      <c r="G323" s="30"/>
      <c r="H323" s="31"/>
      <c r="I323" s="31"/>
      <c r="J323" s="31"/>
      <c r="K323" s="31"/>
      <c r="L323" s="24">
        <f t="shared" si="125"/>
        <v>0</v>
      </c>
      <c r="M323" s="30"/>
      <c r="N323" s="30"/>
      <c r="O323" s="30"/>
      <c r="P323" s="30"/>
    </row>
    <row r="324" spans="1:16" s="1" customFormat="1" ht="30">
      <c r="A324" s="28"/>
      <c r="B324" s="41" t="s">
        <v>36</v>
      </c>
      <c r="C324" s="24">
        <f t="shared" si="124"/>
        <v>0</v>
      </c>
      <c r="D324" s="30"/>
      <c r="E324" s="30"/>
      <c r="F324" s="30"/>
      <c r="G324" s="30"/>
      <c r="H324" s="31"/>
      <c r="I324" s="31"/>
      <c r="J324" s="31"/>
      <c r="K324" s="31"/>
      <c r="L324" s="24">
        <f t="shared" si="125"/>
        <v>0</v>
      </c>
      <c r="M324" s="30"/>
      <c r="N324" s="30"/>
      <c r="O324" s="30"/>
      <c r="P324" s="30"/>
    </row>
    <row r="325" spans="1:16" s="1" customFormat="1">
      <c r="A325" s="28"/>
      <c r="B325" s="42" t="s">
        <v>37</v>
      </c>
      <c r="C325" s="24">
        <f t="shared" si="124"/>
        <v>0</v>
      </c>
      <c r="D325" s="30"/>
      <c r="E325" s="30"/>
      <c r="F325" s="30"/>
      <c r="G325" s="30"/>
      <c r="H325" s="31"/>
      <c r="I325" s="31"/>
      <c r="J325" s="31"/>
      <c r="K325" s="31"/>
      <c r="L325" s="24">
        <f t="shared" si="125"/>
        <v>0</v>
      </c>
      <c r="M325" s="30"/>
      <c r="N325" s="30"/>
      <c r="O325" s="30"/>
      <c r="P325" s="30"/>
    </row>
    <row r="326" spans="1:16" s="1" customFormat="1" ht="30">
      <c r="A326" s="28"/>
      <c r="B326" s="42" t="s">
        <v>38</v>
      </c>
      <c r="C326" s="24">
        <f t="shared" si="124"/>
        <v>0</v>
      </c>
      <c r="D326" s="55">
        <v>248058</v>
      </c>
      <c r="E326" s="30"/>
      <c r="F326" s="30"/>
      <c r="G326" s="30"/>
      <c r="H326" s="31"/>
      <c r="I326" s="31"/>
      <c r="J326" s="31"/>
      <c r="K326" s="31"/>
      <c r="L326" s="24">
        <f t="shared" si="125"/>
        <v>0</v>
      </c>
      <c r="M326" s="55">
        <v>248058</v>
      </c>
      <c r="N326" s="30"/>
      <c r="O326" s="30"/>
      <c r="P326" s="30"/>
    </row>
    <row r="327" spans="1:16" s="1" customFormat="1" ht="30">
      <c r="A327" s="28"/>
      <c r="B327" s="43" t="s">
        <v>39</v>
      </c>
      <c r="C327" s="36">
        <f t="shared" ref="C327:G327" si="126">SUM(C328:C334)</f>
        <v>494.17</v>
      </c>
      <c r="D327" s="56">
        <f t="shared" si="126"/>
        <v>307462.88999999996</v>
      </c>
      <c r="E327" s="36">
        <f t="shared" si="126"/>
        <v>494.17</v>
      </c>
      <c r="F327" s="36">
        <f t="shared" si="126"/>
        <v>0</v>
      </c>
      <c r="G327" s="36">
        <f t="shared" si="126"/>
        <v>0</v>
      </c>
      <c r="H327" s="31"/>
      <c r="I327" s="31"/>
      <c r="J327" s="31"/>
      <c r="K327" s="31"/>
      <c r="L327" s="36">
        <f t="shared" ref="L327:P327" si="127">SUM(L328:L334)</f>
        <v>0</v>
      </c>
      <c r="M327" s="56">
        <f t="shared" si="127"/>
        <v>307462.88999999996</v>
      </c>
      <c r="N327" s="36">
        <f t="shared" si="127"/>
        <v>0</v>
      </c>
      <c r="O327" s="36">
        <f t="shared" si="127"/>
        <v>0</v>
      </c>
      <c r="P327" s="36">
        <f t="shared" si="127"/>
        <v>0</v>
      </c>
    </row>
    <row r="328" spans="1:16" s="1" customFormat="1" ht="30">
      <c r="A328" s="28" t="s">
        <v>40</v>
      </c>
      <c r="B328" s="39" t="s">
        <v>41</v>
      </c>
      <c r="C328" s="24">
        <f t="shared" ref="C328:C334" si="128">E328+F328+G328</f>
        <v>0</v>
      </c>
      <c r="D328" s="30">
        <v>574</v>
      </c>
      <c r="E328" s="30"/>
      <c r="F328" s="30"/>
      <c r="G328" s="30"/>
      <c r="H328" s="31"/>
      <c r="I328" s="31"/>
      <c r="J328" s="31"/>
      <c r="K328" s="31"/>
      <c r="L328" s="24">
        <f t="shared" ref="L328:L334" si="129">N328+O328+P328</f>
        <v>0</v>
      </c>
      <c r="M328" s="30">
        <v>574</v>
      </c>
      <c r="N328" s="30"/>
      <c r="O328" s="30"/>
      <c r="P328" s="30"/>
    </row>
    <row r="329" spans="1:16" s="1" customFormat="1">
      <c r="A329" s="28"/>
      <c r="B329" s="39" t="s">
        <v>42</v>
      </c>
      <c r="C329" s="24">
        <f t="shared" si="128"/>
        <v>0</v>
      </c>
      <c r="D329" s="30"/>
      <c r="E329" s="30"/>
      <c r="F329" s="30"/>
      <c r="G329" s="30"/>
      <c r="H329" s="31"/>
      <c r="I329" s="31"/>
      <c r="J329" s="31"/>
      <c r="K329" s="31"/>
      <c r="L329" s="24">
        <f t="shared" si="129"/>
        <v>0</v>
      </c>
      <c r="M329" s="30"/>
      <c r="N329" s="30"/>
      <c r="O329" s="30"/>
      <c r="P329" s="30"/>
    </row>
    <row r="330" spans="1:16" s="1" customFormat="1">
      <c r="A330" s="28"/>
      <c r="B330" s="39" t="s">
        <v>43</v>
      </c>
      <c r="C330" s="24">
        <f t="shared" si="128"/>
        <v>0</v>
      </c>
      <c r="D330" s="30"/>
      <c r="E330" s="30"/>
      <c r="F330" s="30"/>
      <c r="G330" s="30"/>
      <c r="H330" s="31"/>
      <c r="I330" s="31"/>
      <c r="J330" s="31"/>
      <c r="K330" s="31"/>
      <c r="L330" s="24">
        <f t="shared" si="129"/>
        <v>0</v>
      </c>
      <c r="M330" s="30"/>
      <c r="N330" s="30"/>
      <c r="O330" s="30"/>
      <c r="P330" s="30"/>
    </row>
    <row r="331" spans="1:16" s="1" customFormat="1">
      <c r="A331" s="28"/>
      <c r="B331" s="39" t="s">
        <v>44</v>
      </c>
      <c r="C331" s="24">
        <f t="shared" si="128"/>
        <v>494.17</v>
      </c>
      <c r="D331" s="30">
        <f>58558+60583.5+4880.59+178000</f>
        <v>302022.08999999997</v>
      </c>
      <c r="E331" s="30">
        <v>494.17</v>
      </c>
      <c r="F331" s="30"/>
      <c r="G331" s="30"/>
      <c r="H331" s="31"/>
      <c r="I331" s="31"/>
      <c r="J331" s="31"/>
      <c r="K331" s="31"/>
      <c r="L331" s="24">
        <f t="shared" si="129"/>
        <v>0</v>
      </c>
      <c r="M331" s="30">
        <f>58558+60583.5+4880.59+178000</f>
        <v>302022.08999999997</v>
      </c>
      <c r="N331" s="30"/>
      <c r="O331" s="30"/>
      <c r="P331" s="30"/>
    </row>
    <row r="332" spans="1:16" s="1" customFormat="1">
      <c r="A332" s="28"/>
      <c r="B332" s="39" t="s">
        <v>45</v>
      </c>
      <c r="C332" s="24">
        <f t="shared" si="128"/>
        <v>0</v>
      </c>
      <c r="D332" s="30"/>
      <c r="E332" s="30"/>
      <c r="F332" s="30"/>
      <c r="G332" s="30"/>
      <c r="H332" s="31"/>
      <c r="I332" s="31"/>
      <c r="J332" s="31"/>
      <c r="K332" s="31"/>
      <c r="L332" s="24">
        <f t="shared" si="129"/>
        <v>0</v>
      </c>
      <c r="M332" s="30"/>
      <c r="N332" s="30"/>
      <c r="O332" s="30"/>
      <c r="P332" s="30"/>
    </row>
    <row r="333" spans="1:16" s="1" customFormat="1" ht="30">
      <c r="A333" s="28"/>
      <c r="B333" s="39" t="s">
        <v>46</v>
      </c>
      <c r="C333" s="24">
        <f t="shared" si="128"/>
        <v>0</v>
      </c>
      <c r="D333" s="30"/>
      <c r="E333" s="30"/>
      <c r="F333" s="30"/>
      <c r="G333" s="30"/>
      <c r="H333" s="31"/>
      <c r="I333" s="31"/>
      <c r="J333" s="31"/>
      <c r="K333" s="31"/>
      <c r="L333" s="24">
        <f t="shared" si="129"/>
        <v>0</v>
      </c>
      <c r="M333" s="30"/>
      <c r="N333" s="30"/>
      <c r="O333" s="30"/>
      <c r="P333" s="30"/>
    </row>
    <row r="334" spans="1:16" s="1" customFormat="1">
      <c r="A334" s="28"/>
      <c r="B334" s="39" t="s">
        <v>47</v>
      </c>
      <c r="C334" s="24">
        <f t="shared" si="128"/>
        <v>0</v>
      </c>
      <c r="D334" s="30">
        <f>1100+3766.8</f>
        <v>4866.8</v>
      </c>
      <c r="E334" s="30"/>
      <c r="F334" s="30"/>
      <c r="G334" s="30"/>
      <c r="H334" s="31"/>
      <c r="I334" s="31"/>
      <c r="J334" s="31"/>
      <c r="K334" s="31"/>
      <c r="L334" s="24">
        <f t="shared" si="129"/>
        <v>0</v>
      </c>
      <c r="M334" s="30">
        <f>1100+3766.8</f>
        <v>4866.8</v>
      </c>
      <c r="N334" s="30"/>
      <c r="O334" s="30"/>
      <c r="P334" s="30"/>
    </row>
    <row r="335" spans="1:16" s="1" customFormat="1" ht="36.75" customHeight="1">
      <c r="A335" s="211" t="s">
        <v>3</v>
      </c>
      <c r="B335" s="213" t="s">
        <v>4</v>
      </c>
      <c r="C335" s="213" t="s">
        <v>5</v>
      </c>
      <c r="D335" s="10" t="s">
        <v>6</v>
      </c>
      <c r="E335" s="215" t="s">
        <v>7</v>
      </c>
      <c r="F335" s="216"/>
      <c r="G335" s="217"/>
      <c r="H335" s="218" t="s">
        <v>8</v>
      </c>
      <c r="I335" s="218"/>
      <c r="J335" s="218"/>
      <c r="K335" s="11"/>
      <c r="L335" s="219" t="s">
        <v>9</v>
      </c>
      <c r="M335" s="12" t="s">
        <v>6</v>
      </c>
      <c r="N335" s="208" t="s">
        <v>10</v>
      </c>
      <c r="O335" s="209"/>
      <c r="P335" s="210"/>
    </row>
    <row r="336" spans="1:16" s="1" customFormat="1" ht="47.25" customHeight="1">
      <c r="A336" s="212"/>
      <c r="B336" s="214"/>
      <c r="C336" s="214"/>
      <c r="D336" s="13" t="s">
        <v>11</v>
      </c>
      <c r="E336" s="13" t="s">
        <v>12</v>
      </c>
      <c r="F336" s="13" t="s">
        <v>13</v>
      </c>
      <c r="G336" s="13" t="s">
        <v>14</v>
      </c>
      <c r="H336" s="14" t="s">
        <v>15</v>
      </c>
      <c r="I336" s="14" t="s">
        <v>16</v>
      </c>
      <c r="J336" s="14" t="s">
        <v>17</v>
      </c>
      <c r="K336" s="14" t="s">
        <v>18</v>
      </c>
      <c r="L336" s="220"/>
      <c r="M336" s="15" t="s">
        <v>11</v>
      </c>
      <c r="N336" s="15" t="s">
        <v>12</v>
      </c>
      <c r="O336" s="15" t="s">
        <v>13</v>
      </c>
      <c r="P336" s="15" t="s">
        <v>14</v>
      </c>
    </row>
    <row r="337" spans="1:16" s="1" customFormat="1">
      <c r="A337" s="45">
        <v>12</v>
      </c>
      <c r="B337" s="53" t="s">
        <v>58</v>
      </c>
      <c r="C337" s="46">
        <f t="shared" ref="C337:G337" si="130">C338+C339+C340+C341+C342+C343+C344+C345+C350+C351+C352+C353+C354+C355+C356+C357</f>
        <v>1377441.39</v>
      </c>
      <c r="D337" s="46">
        <f t="shared" si="130"/>
        <v>494101.9</v>
      </c>
      <c r="E337" s="46">
        <f t="shared" si="130"/>
        <v>226234.26999999996</v>
      </c>
      <c r="F337" s="46">
        <f t="shared" si="130"/>
        <v>988181.62</v>
      </c>
      <c r="G337" s="46">
        <f t="shared" si="130"/>
        <v>163025.5</v>
      </c>
      <c r="H337" s="19"/>
      <c r="I337" s="20"/>
      <c r="J337" s="20"/>
      <c r="K337" s="11"/>
      <c r="L337" s="46">
        <f t="shared" ref="L337:P337" si="131">L338+L339+L340+L341+L342+L343+L344+L345+L350+L351+L352+L353+L354+L355+L356+L357</f>
        <v>0</v>
      </c>
      <c r="M337" s="46">
        <f t="shared" si="131"/>
        <v>494101.9</v>
      </c>
      <c r="N337" s="46">
        <f t="shared" si="131"/>
        <v>0</v>
      </c>
      <c r="O337" s="46">
        <f t="shared" si="131"/>
        <v>0</v>
      </c>
      <c r="P337" s="46">
        <f t="shared" si="131"/>
        <v>0</v>
      </c>
    </row>
    <row r="338" spans="1:16" s="5" customFormat="1">
      <c r="A338" s="22"/>
      <c r="B338" s="23" t="s">
        <v>20</v>
      </c>
      <c r="C338" s="24">
        <f t="shared" ref="C338:C344" si="132">E338+F338+G338</f>
        <v>356710.03</v>
      </c>
      <c r="D338" s="25"/>
      <c r="E338" s="25"/>
      <c r="F338" s="25">
        <v>193684.53</v>
      </c>
      <c r="G338" s="25">
        <v>163025.5</v>
      </c>
      <c r="H338" s="26"/>
      <c r="I338" s="24"/>
      <c r="J338" s="24"/>
      <c r="K338" s="27"/>
      <c r="L338" s="24">
        <f t="shared" ref="L338:L344" si="133">N338+O338+P338</f>
        <v>0</v>
      </c>
      <c r="M338" s="25"/>
      <c r="N338" s="25"/>
      <c r="O338" s="25"/>
      <c r="P338" s="25"/>
    </row>
    <row r="339" spans="1:16" s="1" customFormat="1">
      <c r="A339" s="28"/>
      <c r="B339" s="29" t="s">
        <v>21</v>
      </c>
      <c r="C339" s="24">
        <f t="shared" si="132"/>
        <v>10017.15</v>
      </c>
      <c r="D339" s="30">
        <f>4.99</f>
        <v>4.99</v>
      </c>
      <c r="E339" s="30">
        <v>10017.15</v>
      </c>
      <c r="F339" s="30"/>
      <c r="G339" s="30"/>
      <c r="H339" s="31"/>
      <c r="I339" s="31"/>
      <c r="J339" s="31"/>
      <c r="K339" s="31"/>
      <c r="L339" s="24">
        <f t="shared" si="133"/>
        <v>0</v>
      </c>
      <c r="M339" s="30">
        <f>4.99</f>
        <v>4.99</v>
      </c>
      <c r="N339" s="30"/>
      <c r="O339" s="30"/>
      <c r="P339" s="30"/>
    </row>
    <row r="340" spans="1:16" s="1" customFormat="1">
      <c r="A340" s="28"/>
      <c r="B340" s="32" t="s">
        <v>22</v>
      </c>
      <c r="C340" s="24">
        <f t="shared" si="132"/>
        <v>0</v>
      </c>
      <c r="D340" s="30"/>
      <c r="E340" s="30"/>
      <c r="F340" s="30"/>
      <c r="G340" s="30"/>
      <c r="H340" s="31"/>
      <c r="I340" s="31"/>
      <c r="J340" s="31"/>
      <c r="K340" s="31"/>
      <c r="L340" s="24">
        <f t="shared" si="133"/>
        <v>0</v>
      </c>
      <c r="M340" s="30"/>
      <c r="N340" s="30"/>
      <c r="O340" s="30"/>
      <c r="P340" s="30"/>
    </row>
    <row r="341" spans="1:16" s="1" customFormat="1">
      <c r="A341" s="28"/>
      <c r="B341" s="32" t="s">
        <v>23</v>
      </c>
      <c r="C341" s="24">
        <f t="shared" si="132"/>
        <v>0</v>
      </c>
      <c r="D341" s="30"/>
      <c r="E341" s="30"/>
      <c r="F341" s="30"/>
      <c r="G341" s="30"/>
      <c r="H341" s="31"/>
      <c r="I341" s="31"/>
      <c r="J341" s="31"/>
      <c r="K341" s="31"/>
      <c r="L341" s="24">
        <f t="shared" si="133"/>
        <v>0</v>
      </c>
      <c r="M341" s="30"/>
      <c r="N341" s="30"/>
      <c r="O341" s="30"/>
      <c r="P341" s="30"/>
    </row>
    <row r="342" spans="1:16" s="1" customFormat="1">
      <c r="A342" s="28"/>
      <c r="B342" s="29" t="s">
        <v>24</v>
      </c>
      <c r="C342" s="24">
        <f t="shared" si="132"/>
        <v>110245.73</v>
      </c>
      <c r="D342" s="30">
        <f>10.63+21730.74</f>
        <v>21741.370000000003</v>
      </c>
      <c r="E342" s="30">
        <v>110245.73</v>
      </c>
      <c r="F342" s="30"/>
      <c r="G342" s="30"/>
      <c r="H342" s="31"/>
      <c r="I342" s="31"/>
      <c r="J342" s="31"/>
      <c r="K342" s="31"/>
      <c r="L342" s="24">
        <f t="shared" si="133"/>
        <v>0</v>
      </c>
      <c r="M342" s="30">
        <f>10.63+21730.74</f>
        <v>21741.370000000003</v>
      </c>
      <c r="N342" s="30"/>
      <c r="O342" s="30"/>
      <c r="P342" s="30"/>
    </row>
    <row r="343" spans="1:16" s="1" customFormat="1">
      <c r="A343" s="28"/>
      <c r="B343" s="34" t="s">
        <v>25</v>
      </c>
      <c r="C343" s="24">
        <f t="shared" si="132"/>
        <v>921.73</v>
      </c>
      <c r="D343" s="30"/>
      <c r="E343" s="30">
        <v>921.73</v>
      </c>
      <c r="F343" s="30"/>
      <c r="G343" s="30"/>
      <c r="H343" s="31"/>
      <c r="I343" s="31"/>
      <c r="J343" s="31"/>
      <c r="K343" s="31"/>
      <c r="L343" s="24">
        <f t="shared" si="133"/>
        <v>0</v>
      </c>
      <c r="M343" s="30"/>
      <c r="N343" s="30"/>
      <c r="O343" s="30"/>
      <c r="P343" s="30"/>
    </row>
    <row r="344" spans="1:16" s="1" customFormat="1">
      <c r="A344" s="28"/>
      <c r="B344" s="32" t="s">
        <v>26</v>
      </c>
      <c r="C344" s="24">
        <f t="shared" si="132"/>
        <v>0</v>
      </c>
      <c r="D344" s="30"/>
      <c r="E344" s="30"/>
      <c r="F344" s="30"/>
      <c r="G344" s="30"/>
      <c r="H344" s="31"/>
      <c r="I344" s="31"/>
      <c r="J344" s="31"/>
      <c r="K344" s="31"/>
      <c r="L344" s="24">
        <f t="shared" si="133"/>
        <v>0</v>
      </c>
      <c r="M344" s="30"/>
      <c r="N344" s="30"/>
      <c r="O344" s="30"/>
      <c r="P344" s="30"/>
    </row>
    <row r="345" spans="1:16" s="1" customFormat="1" ht="30">
      <c r="A345" s="28"/>
      <c r="B345" s="35" t="s">
        <v>27</v>
      </c>
      <c r="C345" s="36">
        <f t="shared" ref="C345:G345" si="134">SUM(C346:C349)</f>
        <v>100785.79999999999</v>
      </c>
      <c r="D345" s="36">
        <f t="shared" si="134"/>
        <v>3064.53</v>
      </c>
      <c r="E345" s="36">
        <f t="shared" si="134"/>
        <v>100785.79999999999</v>
      </c>
      <c r="F345" s="36">
        <f t="shared" si="134"/>
        <v>0</v>
      </c>
      <c r="G345" s="36">
        <f t="shared" si="134"/>
        <v>0</v>
      </c>
      <c r="H345" s="31"/>
      <c r="I345" s="31"/>
      <c r="J345" s="31"/>
      <c r="K345" s="31"/>
      <c r="L345" s="36">
        <f t="shared" ref="L345:P345" si="135">SUM(L346:L349)</f>
        <v>0</v>
      </c>
      <c r="M345" s="36">
        <f t="shared" si="135"/>
        <v>3064.53</v>
      </c>
      <c r="N345" s="36">
        <f t="shared" si="135"/>
        <v>0</v>
      </c>
      <c r="O345" s="36">
        <f t="shared" si="135"/>
        <v>0</v>
      </c>
      <c r="P345" s="36">
        <f t="shared" si="135"/>
        <v>0</v>
      </c>
    </row>
    <row r="346" spans="1:16" s="1" customFormat="1">
      <c r="A346" s="28"/>
      <c r="B346" s="38" t="s">
        <v>28</v>
      </c>
      <c r="C346" s="24">
        <f t="shared" ref="C346:C356" si="136">E346+F346+G346</f>
        <v>20956.599999999999</v>
      </c>
      <c r="D346" s="30"/>
      <c r="E346" s="30">
        <v>20956.599999999999</v>
      </c>
      <c r="F346" s="30"/>
      <c r="G346" s="30"/>
      <c r="H346" s="31"/>
      <c r="I346" s="31"/>
      <c r="J346" s="31"/>
      <c r="K346" s="31"/>
      <c r="L346" s="24">
        <f t="shared" ref="L346:L356" si="137">N346+O346+P346</f>
        <v>0</v>
      </c>
      <c r="M346" s="30"/>
      <c r="N346" s="30"/>
      <c r="O346" s="30"/>
      <c r="P346" s="30"/>
    </row>
    <row r="347" spans="1:16" s="1" customFormat="1">
      <c r="A347" s="28"/>
      <c r="B347" s="38" t="s">
        <v>29</v>
      </c>
      <c r="C347" s="24">
        <f t="shared" si="136"/>
        <v>0</v>
      </c>
      <c r="D347" s="30">
        <v>3064.53</v>
      </c>
      <c r="E347" s="30"/>
      <c r="F347" s="30"/>
      <c r="G347" s="30"/>
      <c r="H347" s="31"/>
      <c r="I347" s="31"/>
      <c r="J347" s="31"/>
      <c r="K347" s="31"/>
      <c r="L347" s="24">
        <f t="shared" si="137"/>
        <v>0</v>
      </c>
      <c r="M347" s="30">
        <v>3064.53</v>
      </c>
      <c r="N347" s="30"/>
      <c r="O347" s="30"/>
      <c r="P347" s="30"/>
    </row>
    <row r="348" spans="1:16" s="1" customFormat="1">
      <c r="A348" s="28"/>
      <c r="B348" s="38" t="s">
        <v>30</v>
      </c>
      <c r="C348" s="24">
        <f t="shared" si="136"/>
        <v>79829.2</v>
      </c>
      <c r="D348" s="30"/>
      <c r="E348" s="30">
        <f>13067.2+66762</f>
        <v>79829.2</v>
      </c>
      <c r="F348" s="30"/>
      <c r="G348" s="30"/>
      <c r="H348" s="31"/>
      <c r="I348" s="31"/>
      <c r="J348" s="31"/>
      <c r="K348" s="31"/>
      <c r="L348" s="24">
        <f t="shared" si="137"/>
        <v>0</v>
      </c>
      <c r="M348" s="30"/>
      <c r="N348" s="30"/>
      <c r="O348" s="30"/>
      <c r="P348" s="30"/>
    </row>
    <row r="349" spans="1:16" s="1" customFormat="1">
      <c r="A349" s="28"/>
      <c r="B349" s="38" t="s">
        <v>31</v>
      </c>
      <c r="C349" s="24">
        <f t="shared" si="136"/>
        <v>0</v>
      </c>
      <c r="D349" s="30"/>
      <c r="E349" s="30"/>
      <c r="F349" s="30"/>
      <c r="G349" s="30"/>
      <c r="H349" s="31"/>
      <c r="I349" s="31"/>
      <c r="J349" s="31"/>
      <c r="K349" s="31"/>
      <c r="L349" s="24">
        <f t="shared" si="137"/>
        <v>0</v>
      </c>
      <c r="M349" s="30"/>
      <c r="N349" s="30"/>
      <c r="O349" s="30"/>
      <c r="P349" s="30"/>
    </row>
    <row r="350" spans="1:16" s="1" customFormat="1" ht="30">
      <c r="A350" s="28"/>
      <c r="B350" s="39" t="s">
        <v>32</v>
      </c>
      <c r="C350" s="24">
        <f t="shared" si="136"/>
        <v>0</v>
      </c>
      <c r="D350" s="30"/>
      <c r="E350" s="30"/>
      <c r="F350" s="30"/>
      <c r="G350" s="30"/>
      <c r="H350" s="31"/>
      <c r="I350" s="31"/>
      <c r="J350" s="31"/>
      <c r="K350" s="31"/>
      <c r="L350" s="24">
        <f t="shared" si="137"/>
        <v>0</v>
      </c>
      <c r="M350" s="30"/>
      <c r="N350" s="30"/>
      <c r="O350" s="30"/>
      <c r="P350" s="30"/>
    </row>
    <row r="351" spans="1:16" s="1" customFormat="1" ht="30">
      <c r="A351" s="28"/>
      <c r="B351" s="39" t="s">
        <v>33</v>
      </c>
      <c r="C351" s="24">
        <f t="shared" si="136"/>
        <v>0</v>
      </c>
      <c r="D351" s="30"/>
      <c r="E351" s="30"/>
      <c r="F351" s="30"/>
      <c r="G351" s="30"/>
      <c r="H351" s="31"/>
      <c r="I351" s="31"/>
      <c r="J351" s="31"/>
      <c r="K351" s="31"/>
      <c r="L351" s="24">
        <f t="shared" si="137"/>
        <v>0</v>
      </c>
      <c r="M351" s="30"/>
      <c r="N351" s="30"/>
      <c r="O351" s="30"/>
      <c r="P351" s="30"/>
    </row>
    <row r="352" spans="1:16" s="1" customFormat="1" ht="30">
      <c r="A352" s="28"/>
      <c r="B352" s="40" t="s">
        <v>34</v>
      </c>
      <c r="C352" s="24">
        <f t="shared" si="136"/>
        <v>0</v>
      </c>
      <c r="D352" s="30"/>
      <c r="E352" s="30"/>
      <c r="F352" s="30"/>
      <c r="G352" s="30"/>
      <c r="H352" s="31"/>
      <c r="I352" s="31"/>
      <c r="J352" s="31"/>
      <c r="K352" s="31"/>
      <c r="L352" s="24">
        <f t="shared" si="137"/>
        <v>0</v>
      </c>
      <c r="M352" s="30"/>
      <c r="N352" s="30"/>
      <c r="O352" s="30"/>
      <c r="P352" s="30"/>
    </row>
    <row r="353" spans="1:16" s="1" customFormat="1">
      <c r="A353" s="28"/>
      <c r="B353" s="40" t="s">
        <v>35</v>
      </c>
      <c r="C353" s="24">
        <f t="shared" si="136"/>
        <v>4263.8599999999997</v>
      </c>
      <c r="D353" s="30"/>
      <c r="E353" s="30">
        <f>2400+1363.86+500</f>
        <v>4263.8599999999997</v>
      </c>
      <c r="F353" s="30"/>
      <c r="G353" s="30"/>
      <c r="H353" s="31"/>
      <c r="I353" s="31"/>
      <c r="J353" s="31"/>
      <c r="K353" s="31"/>
      <c r="L353" s="24">
        <f t="shared" si="137"/>
        <v>0</v>
      </c>
      <c r="M353" s="30"/>
      <c r="N353" s="30"/>
      <c r="O353" s="30"/>
      <c r="P353" s="30"/>
    </row>
    <row r="354" spans="1:16" s="1" customFormat="1" ht="30">
      <c r="A354" s="28"/>
      <c r="B354" s="41" t="s">
        <v>36</v>
      </c>
      <c r="C354" s="24">
        <f t="shared" si="136"/>
        <v>0</v>
      </c>
      <c r="D354" s="30"/>
      <c r="E354" s="30"/>
      <c r="F354" s="30"/>
      <c r="G354" s="30"/>
      <c r="H354" s="31"/>
      <c r="I354" s="31"/>
      <c r="J354" s="31"/>
      <c r="K354" s="31"/>
      <c r="L354" s="24">
        <f t="shared" si="137"/>
        <v>0</v>
      </c>
      <c r="M354" s="30"/>
      <c r="N354" s="30"/>
      <c r="O354" s="30"/>
      <c r="P354" s="30"/>
    </row>
    <row r="355" spans="1:16" s="1" customFormat="1">
      <c r="A355" s="28"/>
      <c r="B355" s="42" t="s">
        <v>37</v>
      </c>
      <c r="C355" s="24">
        <f t="shared" si="136"/>
        <v>0</v>
      </c>
      <c r="D355" s="30"/>
      <c r="E355" s="30"/>
      <c r="F355" s="30"/>
      <c r="G355" s="30"/>
      <c r="H355" s="31"/>
      <c r="I355" s="31"/>
      <c r="J355" s="31"/>
      <c r="K355" s="31"/>
      <c r="L355" s="24">
        <f t="shared" si="137"/>
        <v>0</v>
      </c>
      <c r="M355" s="30"/>
      <c r="N355" s="30"/>
      <c r="O355" s="30"/>
      <c r="P355" s="30"/>
    </row>
    <row r="356" spans="1:16" s="1" customFormat="1" ht="30">
      <c r="A356" s="28"/>
      <c r="B356" s="42" t="s">
        <v>38</v>
      </c>
      <c r="C356" s="24">
        <f t="shared" si="136"/>
        <v>0</v>
      </c>
      <c r="D356" s="30">
        <f>90000+154500+157560</f>
        <v>402060</v>
      </c>
      <c r="E356" s="30"/>
      <c r="F356" s="30"/>
      <c r="G356" s="30"/>
      <c r="H356" s="31"/>
      <c r="I356" s="31"/>
      <c r="J356" s="31"/>
      <c r="K356" s="31"/>
      <c r="L356" s="24">
        <f t="shared" si="137"/>
        <v>0</v>
      </c>
      <c r="M356" s="30">
        <f>90000+154500+157560</f>
        <v>402060</v>
      </c>
      <c r="N356" s="30"/>
      <c r="O356" s="30"/>
      <c r="P356" s="30"/>
    </row>
    <row r="357" spans="1:16" s="1" customFormat="1" ht="30">
      <c r="A357" s="28"/>
      <c r="B357" s="43" t="s">
        <v>39</v>
      </c>
      <c r="C357" s="36">
        <f t="shared" ref="C357:G357" si="138">SUM(C358:C364)</f>
        <v>794497.09</v>
      </c>
      <c r="D357" s="36">
        <f t="shared" si="138"/>
        <v>67231.009999999995</v>
      </c>
      <c r="E357" s="36">
        <f t="shared" si="138"/>
        <v>0</v>
      </c>
      <c r="F357" s="36">
        <f t="shared" si="138"/>
        <v>794497.09</v>
      </c>
      <c r="G357" s="36">
        <f t="shared" si="138"/>
        <v>0</v>
      </c>
      <c r="H357" s="31"/>
      <c r="I357" s="31"/>
      <c r="J357" s="31"/>
      <c r="K357" s="31"/>
      <c r="L357" s="36">
        <f t="shared" ref="L357:P357" si="139">SUM(L358:L364)</f>
        <v>0</v>
      </c>
      <c r="M357" s="36">
        <f t="shared" si="139"/>
        <v>67231.009999999995</v>
      </c>
      <c r="N357" s="36">
        <f t="shared" si="139"/>
        <v>0</v>
      </c>
      <c r="O357" s="36">
        <f t="shared" si="139"/>
        <v>0</v>
      </c>
      <c r="P357" s="36">
        <f t="shared" si="139"/>
        <v>0</v>
      </c>
    </row>
    <row r="358" spans="1:16" s="1" customFormat="1" ht="30">
      <c r="A358" s="28" t="s">
        <v>40</v>
      </c>
      <c r="B358" s="39" t="s">
        <v>41</v>
      </c>
      <c r="C358" s="24">
        <f t="shared" ref="C358:C364" si="140">E358+F358+G358</f>
        <v>0</v>
      </c>
      <c r="D358" s="30"/>
      <c r="E358" s="30"/>
      <c r="F358" s="30"/>
      <c r="G358" s="30"/>
      <c r="H358" s="31"/>
      <c r="I358" s="31"/>
      <c r="J358" s="31"/>
      <c r="K358" s="31"/>
      <c r="L358" s="24">
        <f t="shared" ref="L358:L364" si="141">N358+O358+P358</f>
        <v>0</v>
      </c>
      <c r="M358" s="30"/>
      <c r="N358" s="30"/>
      <c r="O358" s="30"/>
      <c r="P358" s="30"/>
    </row>
    <row r="359" spans="1:16" s="1" customFormat="1">
      <c r="A359" s="28"/>
      <c r="B359" s="39" t="s">
        <v>42</v>
      </c>
      <c r="C359" s="24">
        <f t="shared" si="140"/>
        <v>0</v>
      </c>
      <c r="D359" s="30"/>
      <c r="E359" s="30"/>
      <c r="F359" s="30"/>
      <c r="G359" s="30"/>
      <c r="H359" s="31"/>
      <c r="I359" s="31"/>
      <c r="J359" s="31"/>
      <c r="K359" s="31"/>
      <c r="L359" s="24">
        <f t="shared" si="141"/>
        <v>0</v>
      </c>
      <c r="M359" s="30"/>
      <c r="N359" s="30"/>
      <c r="O359" s="30"/>
      <c r="P359" s="30"/>
    </row>
    <row r="360" spans="1:16" s="1" customFormat="1">
      <c r="A360" s="28"/>
      <c r="B360" s="39" t="s">
        <v>43</v>
      </c>
      <c r="C360" s="24">
        <f t="shared" si="140"/>
        <v>0</v>
      </c>
      <c r="D360" s="30"/>
      <c r="E360" s="30"/>
      <c r="F360" s="30"/>
      <c r="G360" s="30"/>
      <c r="H360" s="31"/>
      <c r="I360" s="31"/>
      <c r="J360" s="31"/>
      <c r="K360" s="31"/>
      <c r="L360" s="24">
        <f t="shared" si="141"/>
        <v>0</v>
      </c>
      <c r="M360" s="30"/>
      <c r="N360" s="30"/>
      <c r="O360" s="30"/>
      <c r="P360" s="30"/>
    </row>
    <row r="361" spans="1:16" s="1" customFormat="1">
      <c r="A361" s="28"/>
      <c r="B361" s="39" t="s">
        <v>44</v>
      </c>
      <c r="C361" s="24">
        <f t="shared" si="140"/>
        <v>794497.09</v>
      </c>
      <c r="D361" s="30"/>
      <c r="E361" s="30"/>
      <c r="F361" s="30">
        <v>794497.09</v>
      </c>
      <c r="G361" s="30"/>
      <c r="H361" s="31"/>
      <c r="I361" s="31"/>
      <c r="J361" s="31"/>
      <c r="K361" s="31"/>
      <c r="L361" s="24">
        <f t="shared" si="141"/>
        <v>0</v>
      </c>
      <c r="M361" s="30"/>
      <c r="N361" s="30"/>
      <c r="O361" s="30"/>
      <c r="P361" s="30"/>
    </row>
    <row r="362" spans="1:16" s="1" customFormat="1">
      <c r="A362" s="28"/>
      <c r="B362" s="39" t="s">
        <v>45</v>
      </c>
      <c r="C362" s="24">
        <f t="shared" si="140"/>
        <v>0</v>
      </c>
      <c r="D362" s="30"/>
      <c r="E362" s="30"/>
      <c r="F362" s="30"/>
      <c r="G362" s="30"/>
      <c r="H362" s="31"/>
      <c r="I362" s="31"/>
      <c r="J362" s="31"/>
      <c r="K362" s="31"/>
      <c r="L362" s="24">
        <f t="shared" si="141"/>
        <v>0</v>
      </c>
      <c r="M362" s="30"/>
      <c r="N362" s="30"/>
      <c r="O362" s="30"/>
      <c r="P362" s="30"/>
    </row>
    <row r="363" spans="1:16" s="1" customFormat="1" ht="30">
      <c r="A363" s="28"/>
      <c r="B363" s="39" t="s">
        <v>46</v>
      </c>
      <c r="C363" s="24">
        <f t="shared" si="140"/>
        <v>0</v>
      </c>
      <c r="D363" s="30"/>
      <c r="E363" s="30"/>
      <c r="F363" s="30"/>
      <c r="G363" s="30"/>
      <c r="H363" s="31"/>
      <c r="I363" s="31"/>
      <c r="J363" s="31"/>
      <c r="K363" s="31"/>
      <c r="L363" s="24">
        <f t="shared" si="141"/>
        <v>0</v>
      </c>
      <c r="M363" s="30"/>
      <c r="N363" s="30"/>
      <c r="O363" s="30"/>
      <c r="P363" s="30"/>
    </row>
    <row r="364" spans="1:16" s="1" customFormat="1">
      <c r="A364" s="28"/>
      <c r="B364" s="39" t="s">
        <v>47</v>
      </c>
      <c r="C364" s="24">
        <f t="shared" si="140"/>
        <v>0</v>
      </c>
      <c r="D364" s="30">
        <f>17004.01+8337+2850+39040</f>
        <v>67231.009999999995</v>
      </c>
      <c r="E364" s="30"/>
      <c r="F364" s="30"/>
      <c r="G364" s="30"/>
      <c r="H364" s="31"/>
      <c r="I364" s="31"/>
      <c r="J364" s="31"/>
      <c r="K364" s="31"/>
      <c r="L364" s="24">
        <f t="shared" si="141"/>
        <v>0</v>
      </c>
      <c r="M364" s="30">
        <f>17004.01+8337+2850+39040</f>
        <v>67231.009999999995</v>
      </c>
      <c r="N364" s="30"/>
      <c r="O364" s="30"/>
      <c r="P364" s="30"/>
    </row>
    <row r="365" spans="1:16" s="1" customFormat="1" ht="36.75" customHeight="1">
      <c r="A365" s="211" t="s">
        <v>3</v>
      </c>
      <c r="B365" s="213" t="s">
        <v>4</v>
      </c>
      <c r="C365" s="213" t="s">
        <v>5</v>
      </c>
      <c r="D365" s="10" t="s">
        <v>6</v>
      </c>
      <c r="E365" s="215" t="s">
        <v>7</v>
      </c>
      <c r="F365" s="216"/>
      <c r="G365" s="217"/>
      <c r="H365" s="218" t="s">
        <v>8</v>
      </c>
      <c r="I365" s="218"/>
      <c r="J365" s="218"/>
      <c r="K365" s="11"/>
      <c r="L365" s="219" t="s">
        <v>9</v>
      </c>
      <c r="M365" s="12" t="s">
        <v>6</v>
      </c>
      <c r="N365" s="208" t="s">
        <v>10</v>
      </c>
      <c r="O365" s="209"/>
      <c r="P365" s="210"/>
    </row>
    <row r="366" spans="1:16" s="1" customFormat="1" ht="47.25" customHeight="1">
      <c r="A366" s="212"/>
      <c r="B366" s="214"/>
      <c r="C366" s="214"/>
      <c r="D366" s="13" t="s">
        <v>11</v>
      </c>
      <c r="E366" s="13" t="s">
        <v>12</v>
      </c>
      <c r="F366" s="13" t="s">
        <v>13</v>
      </c>
      <c r="G366" s="13" t="s">
        <v>14</v>
      </c>
      <c r="H366" s="14" t="s">
        <v>15</v>
      </c>
      <c r="I366" s="14" t="s">
        <v>16</v>
      </c>
      <c r="J366" s="14" t="s">
        <v>17</v>
      </c>
      <c r="K366" s="14" t="s">
        <v>18</v>
      </c>
      <c r="L366" s="220"/>
      <c r="M366" s="15" t="s">
        <v>11</v>
      </c>
      <c r="N366" s="15" t="s">
        <v>12</v>
      </c>
      <c r="O366" s="15" t="s">
        <v>13</v>
      </c>
      <c r="P366" s="15" t="s">
        <v>14</v>
      </c>
    </row>
    <row r="367" spans="1:16" s="1" customFormat="1">
      <c r="A367" s="45">
        <v>13</v>
      </c>
      <c r="B367" s="17" t="s">
        <v>59</v>
      </c>
      <c r="C367" s="46">
        <f t="shared" ref="C367:G367" si="142">C368+C369+C370+C371+C372+C373+C374+C375+C380+C381+C382+C383+C384+C385+C386+C387</f>
        <v>2190142.56</v>
      </c>
      <c r="D367" s="46">
        <f t="shared" si="142"/>
        <v>2539536.98</v>
      </c>
      <c r="E367" s="46">
        <f t="shared" si="142"/>
        <v>699358.94000000006</v>
      </c>
      <c r="F367" s="46">
        <f t="shared" si="142"/>
        <v>1490783.6199999999</v>
      </c>
      <c r="G367" s="46">
        <f t="shared" si="142"/>
        <v>0</v>
      </c>
      <c r="H367" s="19"/>
      <c r="I367" s="20"/>
      <c r="J367" s="20"/>
      <c r="K367" s="11"/>
      <c r="L367" s="46">
        <f t="shared" ref="L367:P367" si="143">L368+L369+L370+L371+L372+L373+L374+L375+L380+L381+L382+L383+L384+L385+L386+L387</f>
        <v>0</v>
      </c>
      <c r="M367" s="46">
        <f t="shared" si="143"/>
        <v>2539536.98</v>
      </c>
      <c r="N367" s="46">
        <f t="shared" si="143"/>
        <v>0</v>
      </c>
      <c r="O367" s="46">
        <f t="shared" si="143"/>
        <v>0</v>
      </c>
      <c r="P367" s="46">
        <f t="shared" si="143"/>
        <v>0</v>
      </c>
    </row>
    <row r="368" spans="1:16" s="5" customFormat="1">
      <c r="A368" s="22"/>
      <c r="B368" s="23" t="s">
        <v>20</v>
      </c>
      <c r="C368" s="24">
        <f t="shared" ref="C368:C374" si="144">E368+F368+G368</f>
        <v>775819.3</v>
      </c>
      <c r="D368" s="25"/>
      <c r="E368" s="25"/>
      <c r="F368" s="24">
        <v>775819.3</v>
      </c>
      <c r="G368" s="25"/>
      <c r="H368" s="26"/>
      <c r="I368" s="24"/>
      <c r="J368" s="24"/>
      <c r="K368" s="27"/>
      <c r="L368" s="24">
        <f t="shared" ref="L368:L374" si="145">N368+O368+P368</f>
        <v>0</v>
      </c>
      <c r="M368" s="25"/>
      <c r="N368" s="25"/>
      <c r="O368" s="24"/>
      <c r="P368" s="25"/>
    </row>
    <row r="369" spans="1:16" s="1" customFormat="1">
      <c r="A369" s="28"/>
      <c r="B369" s="29" t="s">
        <v>21</v>
      </c>
      <c r="C369" s="24">
        <f t="shared" si="144"/>
        <v>179694.55</v>
      </c>
      <c r="D369" s="24">
        <f>347888.93+250085+3000</f>
        <v>600973.92999999993</v>
      </c>
      <c r="E369" s="30">
        <f>2000+147914.21</f>
        <v>149914.21</v>
      </c>
      <c r="F369" s="30">
        <f>29780.34</f>
        <v>29780.34</v>
      </c>
      <c r="G369" s="30"/>
      <c r="H369" s="31"/>
      <c r="I369" s="31"/>
      <c r="J369" s="31"/>
      <c r="K369" s="31"/>
      <c r="L369" s="24">
        <f t="shared" si="145"/>
        <v>0</v>
      </c>
      <c r="M369" s="24">
        <f>347888.93+250085+3000</f>
        <v>600973.92999999993</v>
      </c>
      <c r="N369" s="30"/>
      <c r="O369" s="30"/>
      <c r="P369" s="30"/>
    </row>
    <row r="370" spans="1:16" s="1" customFormat="1">
      <c r="A370" s="28"/>
      <c r="B370" s="32" t="s">
        <v>22</v>
      </c>
      <c r="C370" s="24">
        <f t="shared" si="144"/>
        <v>0</v>
      </c>
      <c r="D370" s="24"/>
      <c r="E370" s="30"/>
      <c r="F370" s="30"/>
      <c r="G370" s="30"/>
      <c r="H370" s="31"/>
      <c r="I370" s="31"/>
      <c r="J370" s="31"/>
      <c r="K370" s="31"/>
      <c r="L370" s="24">
        <f t="shared" si="145"/>
        <v>0</v>
      </c>
      <c r="M370" s="24"/>
      <c r="N370" s="30"/>
      <c r="O370" s="30"/>
      <c r="P370" s="30"/>
    </row>
    <row r="371" spans="1:16" s="1" customFormat="1">
      <c r="A371" s="28"/>
      <c r="B371" s="32" t="s">
        <v>23</v>
      </c>
      <c r="C371" s="24">
        <f t="shared" si="144"/>
        <v>0</v>
      </c>
      <c r="D371" s="24">
        <v>35000</v>
      </c>
      <c r="E371" s="30"/>
      <c r="F371" s="30"/>
      <c r="G371" s="30"/>
      <c r="H371" s="31"/>
      <c r="I371" s="31"/>
      <c r="J371" s="31"/>
      <c r="K371" s="31"/>
      <c r="L371" s="24">
        <f t="shared" si="145"/>
        <v>0</v>
      </c>
      <c r="M371" s="24">
        <v>35000</v>
      </c>
      <c r="N371" s="30"/>
      <c r="O371" s="30"/>
      <c r="P371" s="30"/>
    </row>
    <row r="372" spans="1:16" s="1" customFormat="1">
      <c r="A372" s="28"/>
      <c r="B372" s="29" t="s">
        <v>24</v>
      </c>
      <c r="C372" s="24">
        <f t="shared" si="144"/>
        <v>190568.53000000003</v>
      </c>
      <c r="D372" s="24">
        <f>3708.19+212304.77+1467728.49+11143.07+25526.62</f>
        <v>1720411.1400000001</v>
      </c>
      <c r="E372" s="24">
        <f>149235.42</f>
        <v>149235.42000000001</v>
      </c>
      <c r="F372" s="30">
        <f>3093.94+38239.17</f>
        <v>41333.11</v>
      </c>
      <c r="G372" s="30"/>
      <c r="H372" s="31"/>
      <c r="I372" s="31"/>
      <c r="J372" s="31"/>
      <c r="K372" s="31"/>
      <c r="L372" s="24">
        <f t="shared" si="145"/>
        <v>0</v>
      </c>
      <c r="M372" s="24">
        <f>3708.19+212304.77+1467728.49+11143.07+25526.62</f>
        <v>1720411.1400000001</v>
      </c>
      <c r="N372" s="24"/>
      <c r="O372" s="30"/>
      <c r="P372" s="30"/>
    </row>
    <row r="373" spans="1:16" s="1" customFormat="1">
      <c r="A373" s="28"/>
      <c r="B373" s="34" t="s">
        <v>25</v>
      </c>
      <c r="C373" s="24">
        <f t="shared" si="144"/>
        <v>70</v>
      </c>
      <c r="D373" s="24">
        <v>10890.03</v>
      </c>
      <c r="E373" s="24">
        <v>70</v>
      </c>
      <c r="F373" s="30"/>
      <c r="G373" s="30"/>
      <c r="H373" s="31"/>
      <c r="I373" s="31"/>
      <c r="J373" s="31"/>
      <c r="K373" s="31"/>
      <c r="L373" s="24">
        <f t="shared" si="145"/>
        <v>0</v>
      </c>
      <c r="M373" s="24">
        <v>10890.03</v>
      </c>
      <c r="N373" s="24"/>
      <c r="O373" s="30"/>
      <c r="P373" s="30"/>
    </row>
    <row r="374" spans="1:16" s="1" customFormat="1">
      <c r="A374" s="28"/>
      <c r="B374" s="32" t="s">
        <v>26</v>
      </c>
      <c r="C374" s="24">
        <f t="shared" si="144"/>
        <v>50</v>
      </c>
      <c r="D374" s="24">
        <v>12380</v>
      </c>
      <c r="E374" s="24">
        <v>50</v>
      </c>
      <c r="F374" s="30"/>
      <c r="G374" s="30"/>
      <c r="H374" s="31"/>
      <c r="I374" s="31"/>
      <c r="J374" s="31"/>
      <c r="K374" s="31"/>
      <c r="L374" s="24">
        <f t="shared" si="145"/>
        <v>0</v>
      </c>
      <c r="M374" s="24">
        <v>12380</v>
      </c>
      <c r="N374" s="24"/>
      <c r="O374" s="30"/>
      <c r="P374" s="30"/>
    </row>
    <row r="375" spans="1:16" s="1" customFormat="1" ht="30">
      <c r="A375" s="28"/>
      <c r="B375" s="35" t="s">
        <v>27</v>
      </c>
      <c r="C375" s="36">
        <f t="shared" ref="C375:G375" si="146">SUM(C376:C379)</f>
        <v>197070.96000000002</v>
      </c>
      <c r="D375" s="37">
        <f t="shared" si="146"/>
        <v>83916.5</v>
      </c>
      <c r="E375" s="37">
        <f t="shared" si="146"/>
        <v>197070.96000000002</v>
      </c>
      <c r="F375" s="36">
        <f t="shared" si="146"/>
        <v>0</v>
      </c>
      <c r="G375" s="36">
        <f t="shared" si="146"/>
        <v>0</v>
      </c>
      <c r="H375" s="31"/>
      <c r="I375" s="31"/>
      <c r="J375" s="31"/>
      <c r="K375" s="31"/>
      <c r="L375" s="36">
        <f t="shared" ref="L375:P375" si="147">SUM(L376:L379)</f>
        <v>0</v>
      </c>
      <c r="M375" s="37">
        <f t="shared" si="147"/>
        <v>83916.5</v>
      </c>
      <c r="N375" s="37">
        <f t="shared" si="147"/>
        <v>0</v>
      </c>
      <c r="O375" s="36">
        <f t="shared" si="147"/>
        <v>0</v>
      </c>
      <c r="P375" s="36">
        <f t="shared" si="147"/>
        <v>0</v>
      </c>
    </row>
    <row r="376" spans="1:16" s="1" customFormat="1">
      <c r="A376" s="28"/>
      <c r="B376" s="38" t="s">
        <v>28</v>
      </c>
      <c r="C376" s="24">
        <f t="shared" ref="C376:C386" si="148">E376+F376+G376</f>
        <v>171977.35</v>
      </c>
      <c r="D376" s="30"/>
      <c r="E376" s="24">
        <v>171977.35</v>
      </c>
      <c r="F376" s="30"/>
      <c r="G376" s="30"/>
      <c r="H376" s="31"/>
      <c r="I376" s="31"/>
      <c r="J376" s="31"/>
      <c r="K376" s="31"/>
      <c r="L376" s="24">
        <f t="shared" ref="L376:L386" si="149">N376+O376+P376</f>
        <v>0</v>
      </c>
      <c r="M376" s="30"/>
      <c r="N376" s="24"/>
      <c r="O376" s="30"/>
      <c r="P376" s="30"/>
    </row>
    <row r="377" spans="1:16" s="1" customFormat="1">
      <c r="A377" s="28"/>
      <c r="B377" s="38" t="s">
        <v>29</v>
      </c>
      <c r="C377" s="24">
        <f t="shared" si="148"/>
        <v>0</v>
      </c>
      <c r="D377" s="30">
        <v>1203.57</v>
      </c>
      <c r="E377" s="24"/>
      <c r="F377" s="30"/>
      <c r="G377" s="30"/>
      <c r="H377" s="31"/>
      <c r="I377" s="31"/>
      <c r="J377" s="31"/>
      <c r="K377" s="31"/>
      <c r="L377" s="24">
        <f t="shared" si="149"/>
        <v>0</v>
      </c>
      <c r="M377" s="30">
        <v>1203.57</v>
      </c>
      <c r="N377" s="24"/>
      <c r="O377" s="30"/>
      <c r="P377" s="30"/>
    </row>
    <row r="378" spans="1:16" s="1" customFormat="1">
      <c r="A378" s="28"/>
      <c r="B378" s="38" t="s">
        <v>30</v>
      </c>
      <c r="C378" s="24">
        <f t="shared" si="148"/>
        <v>244.97</v>
      </c>
      <c r="D378" s="30">
        <f>12412.87+70300.06</f>
        <v>82712.929999999993</v>
      </c>
      <c r="E378" s="24">
        <v>244.97</v>
      </c>
      <c r="F378" s="30"/>
      <c r="G378" s="30"/>
      <c r="H378" s="31"/>
      <c r="I378" s="31"/>
      <c r="J378" s="31"/>
      <c r="K378" s="31"/>
      <c r="L378" s="24">
        <f t="shared" si="149"/>
        <v>0</v>
      </c>
      <c r="M378" s="30">
        <f>12412.87+70300.06</f>
        <v>82712.929999999993</v>
      </c>
      <c r="N378" s="24"/>
      <c r="O378" s="30"/>
      <c r="P378" s="30"/>
    </row>
    <row r="379" spans="1:16" s="1" customFormat="1">
      <c r="A379" s="28"/>
      <c r="B379" s="38" t="s">
        <v>31</v>
      </c>
      <c r="C379" s="24">
        <f t="shared" si="148"/>
        <v>24848.639999999999</v>
      </c>
      <c r="D379" s="30"/>
      <c r="E379" s="24">
        <v>24848.639999999999</v>
      </c>
      <c r="F379" s="30"/>
      <c r="G379" s="30"/>
      <c r="H379" s="31"/>
      <c r="I379" s="31"/>
      <c r="J379" s="31"/>
      <c r="K379" s="31"/>
      <c r="L379" s="24">
        <f t="shared" si="149"/>
        <v>0</v>
      </c>
      <c r="M379" s="30"/>
      <c r="N379" s="24"/>
      <c r="O379" s="30"/>
      <c r="P379" s="30"/>
    </row>
    <row r="380" spans="1:16" s="1" customFormat="1" ht="30">
      <c r="A380" s="28"/>
      <c r="B380" s="39" t="s">
        <v>32</v>
      </c>
      <c r="C380" s="24">
        <f t="shared" si="148"/>
        <v>0</v>
      </c>
      <c r="D380" s="24"/>
      <c r="E380" s="24"/>
      <c r="F380" s="30"/>
      <c r="G380" s="30"/>
      <c r="H380" s="31"/>
      <c r="I380" s="31"/>
      <c r="J380" s="31"/>
      <c r="K380" s="31"/>
      <c r="L380" s="24">
        <f t="shared" si="149"/>
        <v>0</v>
      </c>
      <c r="M380" s="24"/>
      <c r="N380" s="24"/>
      <c r="O380" s="30"/>
      <c r="P380" s="30"/>
    </row>
    <row r="381" spans="1:16" s="1" customFormat="1" ht="30">
      <c r="A381" s="28"/>
      <c r="B381" s="39" t="s">
        <v>33</v>
      </c>
      <c r="C381" s="24">
        <f t="shared" si="148"/>
        <v>54181.08</v>
      </c>
      <c r="D381" s="24">
        <v>4866.01</v>
      </c>
      <c r="E381" s="24">
        <f>9200+9900+3810.08</f>
        <v>22910.080000000002</v>
      </c>
      <c r="F381" s="30">
        <v>31271</v>
      </c>
      <c r="G381" s="30"/>
      <c r="H381" s="31"/>
      <c r="I381" s="31"/>
      <c r="J381" s="31"/>
      <c r="K381" s="31"/>
      <c r="L381" s="24">
        <f t="shared" si="149"/>
        <v>0</v>
      </c>
      <c r="M381" s="24">
        <v>4866.01</v>
      </c>
      <c r="N381" s="24"/>
      <c r="O381" s="30"/>
      <c r="P381" s="30"/>
    </row>
    <row r="382" spans="1:16" s="1" customFormat="1" ht="30">
      <c r="A382" s="28"/>
      <c r="B382" s="40" t="s">
        <v>34</v>
      </c>
      <c r="C382" s="24">
        <f t="shared" si="148"/>
        <v>0</v>
      </c>
      <c r="D382" s="24"/>
      <c r="E382" s="24"/>
      <c r="F382" s="30"/>
      <c r="G382" s="30"/>
      <c r="H382" s="31"/>
      <c r="I382" s="31"/>
      <c r="J382" s="31"/>
      <c r="K382" s="31"/>
      <c r="L382" s="24">
        <f t="shared" si="149"/>
        <v>0</v>
      </c>
      <c r="M382" s="24"/>
      <c r="N382" s="24"/>
      <c r="O382" s="30"/>
      <c r="P382" s="30"/>
    </row>
    <row r="383" spans="1:16" s="1" customFormat="1">
      <c r="A383" s="28"/>
      <c r="B383" s="40" t="s">
        <v>35</v>
      </c>
      <c r="C383" s="24">
        <f t="shared" si="148"/>
        <v>19311.400000000001</v>
      </c>
      <c r="D383" s="24">
        <f>1500+23767.59+3617.49+2987.1+8800+7054</f>
        <v>47726.18</v>
      </c>
      <c r="E383" s="24">
        <f>13530+5781.4</f>
        <v>19311.400000000001</v>
      </c>
      <c r="F383" s="30"/>
      <c r="G383" s="30"/>
      <c r="H383" s="31"/>
      <c r="I383" s="31"/>
      <c r="J383" s="31"/>
      <c r="K383" s="31"/>
      <c r="L383" s="24">
        <f t="shared" si="149"/>
        <v>0</v>
      </c>
      <c r="M383" s="24">
        <f>1500+23767.59+3617.49+2987.1+8800+7054</f>
        <v>47726.18</v>
      </c>
      <c r="N383" s="24"/>
      <c r="O383" s="30"/>
      <c r="P383" s="30"/>
    </row>
    <row r="384" spans="1:16" s="1" customFormat="1" ht="30">
      <c r="A384" s="28"/>
      <c r="B384" s="41" t="s">
        <v>36</v>
      </c>
      <c r="C384" s="24">
        <f t="shared" si="148"/>
        <v>0</v>
      </c>
      <c r="D384" s="24"/>
      <c r="E384" s="24"/>
      <c r="F384" s="30"/>
      <c r="G384" s="30"/>
      <c r="H384" s="31"/>
      <c r="I384" s="31"/>
      <c r="J384" s="31"/>
      <c r="K384" s="31"/>
      <c r="L384" s="24">
        <f t="shared" si="149"/>
        <v>0</v>
      </c>
      <c r="M384" s="24"/>
      <c r="N384" s="24"/>
      <c r="O384" s="30"/>
      <c r="P384" s="30"/>
    </row>
    <row r="385" spans="1:16" s="1" customFormat="1">
      <c r="A385" s="28"/>
      <c r="B385" s="42" t="s">
        <v>37</v>
      </c>
      <c r="C385" s="24">
        <f t="shared" si="148"/>
        <v>0</v>
      </c>
      <c r="D385" s="30">
        <v>750</v>
      </c>
      <c r="E385" s="30"/>
      <c r="F385" s="30"/>
      <c r="G385" s="30"/>
      <c r="H385" s="31"/>
      <c r="I385" s="31"/>
      <c r="J385" s="31"/>
      <c r="K385" s="31"/>
      <c r="L385" s="24">
        <f t="shared" si="149"/>
        <v>0</v>
      </c>
      <c r="M385" s="30">
        <v>750</v>
      </c>
      <c r="N385" s="30"/>
      <c r="O385" s="30"/>
      <c r="P385" s="30"/>
    </row>
    <row r="386" spans="1:16" s="1" customFormat="1" ht="30">
      <c r="A386" s="28"/>
      <c r="B386" s="42" t="s">
        <v>38</v>
      </c>
      <c r="C386" s="24">
        <f t="shared" si="148"/>
        <v>0</v>
      </c>
      <c r="D386" s="30"/>
      <c r="E386" s="30"/>
      <c r="F386" s="30"/>
      <c r="G386" s="30"/>
      <c r="H386" s="31"/>
      <c r="I386" s="31"/>
      <c r="J386" s="31"/>
      <c r="K386" s="31"/>
      <c r="L386" s="24">
        <f t="shared" si="149"/>
        <v>0</v>
      </c>
      <c r="M386" s="30"/>
      <c r="N386" s="30"/>
      <c r="O386" s="30"/>
      <c r="P386" s="30"/>
    </row>
    <row r="387" spans="1:16" s="1" customFormat="1" ht="30">
      <c r="A387" s="28"/>
      <c r="B387" s="43" t="s">
        <v>39</v>
      </c>
      <c r="C387" s="36">
        <f t="shared" ref="C387:G387" si="150">SUM(C388:C394)</f>
        <v>773376.73999999987</v>
      </c>
      <c r="D387" s="36">
        <f t="shared" si="150"/>
        <v>22623.190000000002</v>
      </c>
      <c r="E387" s="36">
        <f t="shared" si="150"/>
        <v>160796.87</v>
      </c>
      <c r="F387" s="36">
        <f t="shared" si="150"/>
        <v>612579.86999999988</v>
      </c>
      <c r="G387" s="36">
        <f t="shared" si="150"/>
        <v>0</v>
      </c>
      <c r="H387" s="31"/>
      <c r="I387" s="31"/>
      <c r="J387" s="31"/>
      <c r="K387" s="31"/>
      <c r="L387" s="36">
        <f t="shared" ref="L387:P387" si="151">SUM(L388:L394)</f>
        <v>0</v>
      </c>
      <c r="M387" s="36">
        <f t="shared" si="151"/>
        <v>22623.190000000002</v>
      </c>
      <c r="N387" s="36">
        <f t="shared" si="151"/>
        <v>0</v>
      </c>
      <c r="O387" s="36">
        <f t="shared" si="151"/>
        <v>0</v>
      </c>
      <c r="P387" s="36">
        <f t="shared" si="151"/>
        <v>0</v>
      </c>
    </row>
    <row r="388" spans="1:16" s="1" customFormat="1" ht="30">
      <c r="A388" s="28" t="s">
        <v>40</v>
      </c>
      <c r="B388" s="39" t="s">
        <v>41</v>
      </c>
      <c r="C388" s="24">
        <f t="shared" ref="C388:C394" si="152">E388+F388+G388</f>
        <v>0</v>
      </c>
      <c r="D388" s="30"/>
      <c r="E388" s="30"/>
      <c r="F388" s="30"/>
      <c r="G388" s="30"/>
      <c r="H388" s="31"/>
      <c r="I388" s="31"/>
      <c r="J388" s="31"/>
      <c r="K388" s="31"/>
      <c r="L388" s="24">
        <f t="shared" ref="L388:L394" si="153">N388+O388+P388</f>
        <v>0</v>
      </c>
      <c r="M388" s="30"/>
      <c r="N388" s="30"/>
      <c r="O388" s="30"/>
      <c r="P388" s="30"/>
    </row>
    <row r="389" spans="1:16" s="1" customFormat="1">
      <c r="A389" s="28"/>
      <c r="B389" s="39" t="s">
        <v>42</v>
      </c>
      <c r="C389" s="24">
        <f t="shared" si="152"/>
        <v>0</v>
      </c>
      <c r="D389" s="30"/>
      <c r="E389" s="30"/>
      <c r="F389" s="30"/>
      <c r="G389" s="30"/>
      <c r="H389" s="31"/>
      <c r="I389" s="31"/>
      <c r="J389" s="31"/>
      <c r="K389" s="31"/>
      <c r="L389" s="24">
        <f t="shared" si="153"/>
        <v>0</v>
      </c>
      <c r="M389" s="30"/>
      <c r="N389" s="30"/>
      <c r="O389" s="30"/>
      <c r="P389" s="30"/>
    </row>
    <row r="390" spans="1:16" s="1" customFormat="1">
      <c r="A390" s="28"/>
      <c r="B390" s="39" t="s">
        <v>43</v>
      </c>
      <c r="C390" s="24">
        <f t="shared" si="152"/>
        <v>0</v>
      </c>
      <c r="D390" s="30"/>
      <c r="E390" s="30"/>
      <c r="F390" s="30"/>
      <c r="G390" s="30"/>
      <c r="H390" s="31"/>
      <c r="I390" s="31"/>
      <c r="J390" s="31"/>
      <c r="K390" s="31"/>
      <c r="L390" s="24">
        <f t="shared" si="153"/>
        <v>0</v>
      </c>
      <c r="M390" s="30"/>
      <c r="N390" s="30"/>
      <c r="O390" s="30"/>
      <c r="P390" s="30"/>
    </row>
    <row r="391" spans="1:16" s="1" customFormat="1">
      <c r="A391" s="28"/>
      <c r="B391" s="39" t="s">
        <v>44</v>
      </c>
      <c r="C391" s="24">
        <f t="shared" si="152"/>
        <v>730820.53999999992</v>
      </c>
      <c r="D391" s="30"/>
      <c r="E391" s="30">
        <f>8+126404+34384.87</f>
        <v>160796.87</v>
      </c>
      <c r="F391" s="30">
        <f>129210+372433.05+62868.14+5512.48</f>
        <v>570023.66999999993</v>
      </c>
      <c r="G391" s="30"/>
      <c r="H391" s="31"/>
      <c r="I391" s="31"/>
      <c r="J391" s="31"/>
      <c r="K391" s="31"/>
      <c r="L391" s="24">
        <f t="shared" si="153"/>
        <v>0</v>
      </c>
      <c r="M391" s="30"/>
      <c r="N391" s="30"/>
      <c r="O391" s="30"/>
      <c r="P391" s="30"/>
    </row>
    <row r="392" spans="1:16" s="1" customFormat="1">
      <c r="A392" s="28"/>
      <c r="B392" s="39" t="s">
        <v>45</v>
      </c>
      <c r="C392" s="24">
        <f t="shared" si="152"/>
        <v>0</v>
      </c>
      <c r="D392" s="30"/>
      <c r="E392" s="30"/>
      <c r="F392" s="30"/>
      <c r="G392" s="30"/>
      <c r="H392" s="31"/>
      <c r="I392" s="31"/>
      <c r="J392" s="31"/>
      <c r="K392" s="31"/>
      <c r="L392" s="24">
        <f t="shared" si="153"/>
        <v>0</v>
      </c>
      <c r="M392" s="30"/>
      <c r="N392" s="30"/>
      <c r="O392" s="30"/>
      <c r="P392" s="30"/>
    </row>
    <row r="393" spans="1:16" s="1" customFormat="1" ht="30">
      <c r="A393" s="28"/>
      <c r="B393" s="39" t="s">
        <v>46</v>
      </c>
      <c r="C393" s="24">
        <f t="shared" si="152"/>
        <v>0</v>
      </c>
      <c r="D393" s="30"/>
      <c r="E393" s="30"/>
      <c r="F393" s="30"/>
      <c r="G393" s="30"/>
      <c r="H393" s="31"/>
      <c r="I393" s="31"/>
      <c r="J393" s="31"/>
      <c r="K393" s="31"/>
      <c r="L393" s="24">
        <f t="shared" si="153"/>
        <v>0</v>
      </c>
      <c r="M393" s="30"/>
      <c r="N393" s="30"/>
      <c r="O393" s="30"/>
      <c r="P393" s="30"/>
    </row>
    <row r="394" spans="1:16" s="1" customFormat="1">
      <c r="A394" s="28"/>
      <c r="B394" s="39" t="s">
        <v>47</v>
      </c>
      <c r="C394" s="24">
        <f t="shared" si="152"/>
        <v>42556.2</v>
      </c>
      <c r="D394" s="24">
        <f>9837.99+9765.2+1690+1330</f>
        <v>22623.190000000002</v>
      </c>
      <c r="E394" s="30"/>
      <c r="F394" s="30">
        <f>8754.2+13520+20282</f>
        <v>42556.2</v>
      </c>
      <c r="G394" s="30"/>
      <c r="H394" s="31"/>
      <c r="I394" s="31"/>
      <c r="J394" s="31"/>
      <c r="K394" s="31"/>
      <c r="L394" s="24">
        <f t="shared" si="153"/>
        <v>0</v>
      </c>
      <c r="M394" s="24">
        <f>9837.99+9765.2+1690+1330</f>
        <v>22623.190000000002</v>
      </c>
      <c r="N394" s="30"/>
      <c r="O394" s="30"/>
      <c r="P394" s="30"/>
    </row>
    <row r="395" spans="1:16" s="1" customFormat="1" ht="36.75" customHeight="1">
      <c r="A395" s="211" t="s">
        <v>3</v>
      </c>
      <c r="B395" s="213" t="s">
        <v>4</v>
      </c>
      <c r="C395" s="213" t="s">
        <v>5</v>
      </c>
      <c r="D395" s="10" t="s">
        <v>6</v>
      </c>
      <c r="E395" s="215" t="s">
        <v>7</v>
      </c>
      <c r="F395" s="216"/>
      <c r="G395" s="217"/>
      <c r="H395" s="218" t="s">
        <v>8</v>
      </c>
      <c r="I395" s="218"/>
      <c r="J395" s="218"/>
      <c r="K395" s="11"/>
      <c r="L395" s="219" t="s">
        <v>9</v>
      </c>
      <c r="M395" s="12" t="s">
        <v>6</v>
      </c>
      <c r="N395" s="208" t="s">
        <v>10</v>
      </c>
      <c r="O395" s="209"/>
      <c r="P395" s="210"/>
    </row>
    <row r="396" spans="1:16" s="1" customFormat="1" ht="47.25" customHeight="1">
      <c r="A396" s="212"/>
      <c r="B396" s="214"/>
      <c r="C396" s="214"/>
      <c r="D396" s="13" t="s">
        <v>11</v>
      </c>
      <c r="E396" s="13" t="s">
        <v>12</v>
      </c>
      <c r="F396" s="13" t="s">
        <v>13</v>
      </c>
      <c r="G396" s="13" t="s">
        <v>14</v>
      </c>
      <c r="H396" s="14" t="s">
        <v>15</v>
      </c>
      <c r="I396" s="14" t="s">
        <v>16</v>
      </c>
      <c r="J396" s="14" t="s">
        <v>17</v>
      </c>
      <c r="K396" s="14" t="s">
        <v>18</v>
      </c>
      <c r="L396" s="220"/>
      <c r="M396" s="15" t="s">
        <v>11</v>
      </c>
      <c r="N396" s="15" t="s">
        <v>12</v>
      </c>
      <c r="O396" s="15" t="s">
        <v>13</v>
      </c>
      <c r="P396" s="15" t="s">
        <v>14</v>
      </c>
    </row>
    <row r="397" spans="1:16" s="1" customFormat="1">
      <c r="A397" s="16">
        <v>14</v>
      </c>
      <c r="B397" s="17" t="s">
        <v>60</v>
      </c>
      <c r="C397" s="18">
        <f t="shared" ref="C397:G397" si="154">C398+C399+C400+C401+C402+C403+C404+C405+C410+C411+C412+C413+C414+C415+C416+C417</f>
        <v>291369.38</v>
      </c>
      <c r="D397" s="18">
        <f t="shared" si="154"/>
        <v>547899.30999999994</v>
      </c>
      <c r="E397" s="18">
        <f t="shared" si="154"/>
        <v>18294.32</v>
      </c>
      <c r="F397" s="18">
        <f t="shared" si="154"/>
        <v>273075.06</v>
      </c>
      <c r="G397" s="18">
        <f t="shared" si="154"/>
        <v>0</v>
      </c>
      <c r="H397" s="19"/>
      <c r="I397" s="20"/>
      <c r="J397" s="20"/>
      <c r="K397" s="11"/>
      <c r="L397" s="18">
        <f t="shared" ref="L397:P397" si="155">L398+L399+L400+L401+L402+L403+L404+L405+L410+L411+L412+L413+L414+L415+L416+L417</f>
        <v>0</v>
      </c>
      <c r="M397" s="18">
        <f t="shared" si="155"/>
        <v>547899.30999999994</v>
      </c>
      <c r="N397" s="18">
        <f t="shared" si="155"/>
        <v>0</v>
      </c>
      <c r="O397" s="18">
        <f t="shared" si="155"/>
        <v>0</v>
      </c>
      <c r="P397" s="18">
        <f t="shared" si="155"/>
        <v>0</v>
      </c>
    </row>
    <row r="398" spans="1:16" s="1" customFormat="1">
      <c r="A398" s="22"/>
      <c r="B398" s="23" t="s">
        <v>20</v>
      </c>
      <c r="C398" s="24">
        <f t="shared" ref="C398:C404" si="156">E398+F398+G398</f>
        <v>252202.82</v>
      </c>
      <c r="D398" s="25"/>
      <c r="E398" s="24"/>
      <c r="F398" s="24">
        <v>252202.82</v>
      </c>
      <c r="G398" s="25"/>
      <c r="H398" s="26"/>
      <c r="I398" s="24"/>
      <c r="J398" s="24"/>
      <c r="K398" s="27"/>
      <c r="L398" s="24">
        <f t="shared" ref="L398:L404" si="157">N398+O398+P398</f>
        <v>0</v>
      </c>
      <c r="M398" s="25"/>
      <c r="N398" s="24"/>
      <c r="O398" s="24"/>
      <c r="P398" s="25"/>
    </row>
    <row r="399" spans="1:16" s="1" customFormat="1">
      <c r="A399" s="28"/>
      <c r="B399" s="29" t="s">
        <v>21</v>
      </c>
      <c r="C399" s="24">
        <f t="shared" si="156"/>
        <v>0</v>
      </c>
      <c r="D399" s="30">
        <v>19738.560000000001</v>
      </c>
      <c r="E399" s="30"/>
      <c r="F399" s="30"/>
      <c r="G399" s="30"/>
      <c r="H399" s="31"/>
      <c r="I399" s="31"/>
      <c r="J399" s="31"/>
      <c r="K399" s="31"/>
      <c r="L399" s="24">
        <f t="shared" si="157"/>
        <v>0</v>
      </c>
      <c r="M399" s="30">
        <v>19738.560000000001</v>
      </c>
      <c r="N399" s="30"/>
      <c r="O399" s="30"/>
      <c r="P399" s="30"/>
    </row>
    <row r="400" spans="1:16" s="1" customFormat="1">
      <c r="A400" s="28"/>
      <c r="B400" s="32" t="s">
        <v>22</v>
      </c>
      <c r="C400" s="24">
        <f t="shared" si="156"/>
        <v>0</v>
      </c>
      <c r="D400" s="30"/>
      <c r="E400" s="30"/>
      <c r="F400" s="30"/>
      <c r="G400" s="30"/>
      <c r="H400" s="31"/>
      <c r="I400" s="31"/>
      <c r="J400" s="31"/>
      <c r="K400" s="31"/>
      <c r="L400" s="24">
        <f t="shared" si="157"/>
        <v>0</v>
      </c>
      <c r="M400" s="30"/>
      <c r="N400" s="30"/>
      <c r="O400" s="30"/>
      <c r="P400" s="30"/>
    </row>
    <row r="401" spans="1:16" s="1" customFormat="1">
      <c r="A401" s="28"/>
      <c r="B401" s="32" t="s">
        <v>23</v>
      </c>
      <c r="C401" s="24">
        <f t="shared" si="156"/>
        <v>0</v>
      </c>
      <c r="D401" s="30">
        <v>32039.919999999998</v>
      </c>
      <c r="E401" s="30"/>
      <c r="F401" s="30"/>
      <c r="G401" s="30"/>
      <c r="H401" s="31"/>
      <c r="I401" s="31"/>
      <c r="J401" s="31"/>
      <c r="K401" s="31"/>
      <c r="L401" s="24">
        <f t="shared" si="157"/>
        <v>0</v>
      </c>
      <c r="M401" s="30">
        <v>32039.919999999998</v>
      </c>
      <c r="N401" s="30"/>
      <c r="O401" s="30"/>
      <c r="P401" s="30"/>
    </row>
    <row r="402" spans="1:16" s="1" customFormat="1">
      <c r="A402" s="28"/>
      <c r="B402" s="29" t="s">
        <v>24</v>
      </c>
      <c r="C402" s="24">
        <f t="shared" si="156"/>
        <v>0</v>
      </c>
      <c r="D402" s="30">
        <f>4044.4+845.47+54437.48+62697.34</f>
        <v>122024.69</v>
      </c>
      <c r="E402" s="30"/>
      <c r="F402" s="30"/>
      <c r="G402" s="30"/>
      <c r="H402" s="31"/>
      <c r="I402" s="31"/>
      <c r="J402" s="31"/>
      <c r="K402" s="31"/>
      <c r="L402" s="24">
        <f t="shared" si="157"/>
        <v>0</v>
      </c>
      <c r="M402" s="30">
        <f>4044.4+845.47+54437.48+62697.34</f>
        <v>122024.69</v>
      </c>
      <c r="N402" s="30"/>
      <c r="O402" s="30"/>
      <c r="P402" s="30"/>
    </row>
    <row r="403" spans="1:16" s="1" customFormat="1">
      <c r="A403" s="28"/>
      <c r="B403" s="34" t="s">
        <v>25</v>
      </c>
      <c r="C403" s="24">
        <f t="shared" si="156"/>
        <v>0</v>
      </c>
      <c r="D403" s="30">
        <v>10503.33</v>
      </c>
      <c r="E403" s="30"/>
      <c r="F403" s="30"/>
      <c r="G403" s="30"/>
      <c r="H403" s="31"/>
      <c r="I403" s="31"/>
      <c r="J403" s="31"/>
      <c r="K403" s="31"/>
      <c r="L403" s="24">
        <f t="shared" si="157"/>
        <v>0</v>
      </c>
      <c r="M403" s="30">
        <v>10503.33</v>
      </c>
      <c r="N403" s="30"/>
      <c r="O403" s="30"/>
      <c r="P403" s="30"/>
    </row>
    <row r="404" spans="1:16" s="1" customFormat="1">
      <c r="A404" s="28"/>
      <c r="B404" s="32" t="s">
        <v>26</v>
      </c>
      <c r="C404" s="24">
        <f t="shared" si="156"/>
        <v>0</v>
      </c>
      <c r="D404" s="30"/>
      <c r="E404" s="30"/>
      <c r="F404" s="30"/>
      <c r="G404" s="30"/>
      <c r="H404" s="31"/>
      <c r="I404" s="31"/>
      <c r="J404" s="31"/>
      <c r="K404" s="31"/>
      <c r="L404" s="24">
        <f t="shared" si="157"/>
        <v>0</v>
      </c>
      <c r="M404" s="30"/>
      <c r="N404" s="30"/>
      <c r="O404" s="30"/>
      <c r="P404" s="30"/>
    </row>
    <row r="405" spans="1:16" s="1" customFormat="1" ht="30">
      <c r="A405" s="28"/>
      <c r="B405" s="35" t="s">
        <v>27</v>
      </c>
      <c r="C405" s="36">
        <f t="shared" ref="C405:G405" si="158">SUM(C406:C409)</f>
        <v>12194.330000000002</v>
      </c>
      <c r="D405" s="36">
        <f t="shared" si="158"/>
        <v>220947.57</v>
      </c>
      <c r="E405" s="36">
        <f t="shared" si="158"/>
        <v>12194.330000000002</v>
      </c>
      <c r="F405" s="36">
        <f t="shared" si="158"/>
        <v>0</v>
      </c>
      <c r="G405" s="36">
        <f t="shared" si="158"/>
        <v>0</v>
      </c>
      <c r="H405" s="31"/>
      <c r="I405" s="31"/>
      <c r="J405" s="31"/>
      <c r="K405" s="31"/>
      <c r="L405" s="36">
        <f t="shared" ref="L405:P405" si="159">SUM(L406:L409)</f>
        <v>0</v>
      </c>
      <c r="M405" s="36">
        <f t="shared" si="159"/>
        <v>220947.57</v>
      </c>
      <c r="N405" s="36">
        <f t="shared" si="159"/>
        <v>0</v>
      </c>
      <c r="O405" s="36">
        <f t="shared" si="159"/>
        <v>0</v>
      </c>
      <c r="P405" s="36">
        <f t="shared" si="159"/>
        <v>0</v>
      </c>
    </row>
    <row r="406" spans="1:16" s="1" customFormat="1">
      <c r="A406" s="28"/>
      <c r="B406" s="38" t="s">
        <v>28</v>
      </c>
      <c r="C406" s="24">
        <f t="shared" ref="C406:C416" si="160">E406+F406+G406</f>
        <v>0</v>
      </c>
      <c r="D406" s="30">
        <v>159324.6</v>
      </c>
      <c r="E406" s="30"/>
      <c r="F406" s="30"/>
      <c r="G406" s="30"/>
      <c r="H406" s="31"/>
      <c r="I406" s="31"/>
      <c r="J406" s="31"/>
      <c r="K406" s="31"/>
      <c r="L406" s="24">
        <f t="shared" ref="L406:L416" si="161">N406+O406+P406</f>
        <v>0</v>
      </c>
      <c r="M406" s="30">
        <v>159324.6</v>
      </c>
      <c r="N406" s="30"/>
      <c r="O406" s="30"/>
      <c r="P406" s="30"/>
    </row>
    <row r="407" spans="1:16" s="1" customFormat="1">
      <c r="A407" s="28"/>
      <c r="B407" s="38" t="s">
        <v>29</v>
      </c>
      <c r="C407" s="24">
        <f t="shared" si="160"/>
        <v>0</v>
      </c>
      <c r="D407" s="30">
        <v>55911.51</v>
      </c>
      <c r="E407" s="30"/>
      <c r="F407" s="30"/>
      <c r="G407" s="30"/>
      <c r="H407" s="31"/>
      <c r="I407" s="31"/>
      <c r="J407" s="31"/>
      <c r="K407" s="31"/>
      <c r="L407" s="24">
        <f t="shared" si="161"/>
        <v>0</v>
      </c>
      <c r="M407" s="30">
        <v>55911.51</v>
      </c>
      <c r="N407" s="30"/>
      <c r="O407" s="30"/>
      <c r="P407" s="30"/>
    </row>
    <row r="408" spans="1:16" s="1" customFormat="1">
      <c r="A408" s="28"/>
      <c r="B408" s="38" t="s">
        <v>30</v>
      </c>
      <c r="C408" s="24">
        <f t="shared" si="160"/>
        <v>2375.8000000000002</v>
      </c>
      <c r="D408" s="30">
        <v>5711.46</v>
      </c>
      <c r="E408" s="30">
        <v>2375.8000000000002</v>
      </c>
      <c r="F408" s="30"/>
      <c r="G408" s="30"/>
      <c r="H408" s="31"/>
      <c r="I408" s="31"/>
      <c r="J408" s="31"/>
      <c r="K408" s="31"/>
      <c r="L408" s="24">
        <f t="shared" si="161"/>
        <v>0</v>
      </c>
      <c r="M408" s="30">
        <v>5711.46</v>
      </c>
      <c r="N408" s="30"/>
      <c r="O408" s="30"/>
      <c r="P408" s="30"/>
    </row>
    <row r="409" spans="1:16" s="1" customFormat="1">
      <c r="A409" s="28"/>
      <c r="B409" s="38" t="s">
        <v>31</v>
      </c>
      <c r="C409" s="24">
        <f t="shared" si="160"/>
        <v>9818.5300000000007</v>
      </c>
      <c r="D409" s="30"/>
      <c r="E409" s="30">
        <v>9818.5300000000007</v>
      </c>
      <c r="F409" s="30"/>
      <c r="G409" s="30"/>
      <c r="H409" s="31"/>
      <c r="I409" s="31"/>
      <c r="J409" s="31"/>
      <c r="K409" s="31"/>
      <c r="L409" s="24">
        <f t="shared" si="161"/>
        <v>0</v>
      </c>
      <c r="M409" s="30"/>
      <c r="N409" s="30"/>
      <c r="O409" s="30"/>
      <c r="P409" s="30"/>
    </row>
    <row r="410" spans="1:16" s="1" customFormat="1" ht="30">
      <c r="A410" s="28"/>
      <c r="B410" s="39" t="s">
        <v>32</v>
      </c>
      <c r="C410" s="24">
        <f t="shared" si="160"/>
        <v>0</v>
      </c>
      <c r="D410" s="30"/>
      <c r="E410" s="30"/>
      <c r="F410" s="30"/>
      <c r="G410" s="30"/>
      <c r="H410" s="31"/>
      <c r="I410" s="31"/>
      <c r="J410" s="31"/>
      <c r="K410" s="31"/>
      <c r="L410" s="24">
        <f t="shared" si="161"/>
        <v>0</v>
      </c>
      <c r="M410" s="30"/>
      <c r="N410" s="30"/>
      <c r="O410" s="30"/>
      <c r="P410" s="30"/>
    </row>
    <row r="411" spans="1:16" s="1" customFormat="1" ht="30">
      <c r="A411" s="28"/>
      <c r="B411" s="39" t="s">
        <v>33</v>
      </c>
      <c r="C411" s="24">
        <f t="shared" si="160"/>
        <v>9181.99</v>
      </c>
      <c r="D411" s="30">
        <v>10454.120000000001</v>
      </c>
      <c r="E411" s="30">
        <v>3599.99</v>
      </c>
      <c r="F411" s="30">
        <v>5582</v>
      </c>
      <c r="G411" s="30"/>
      <c r="H411" s="31"/>
      <c r="I411" s="31"/>
      <c r="J411" s="31"/>
      <c r="K411" s="31"/>
      <c r="L411" s="24">
        <f t="shared" si="161"/>
        <v>0</v>
      </c>
      <c r="M411" s="30">
        <v>10454.120000000001</v>
      </c>
      <c r="N411" s="30"/>
      <c r="O411" s="30"/>
      <c r="P411" s="30"/>
    </row>
    <row r="412" spans="1:16" s="1" customFormat="1" ht="30">
      <c r="A412" s="28"/>
      <c r="B412" s="40" t="s">
        <v>34</v>
      </c>
      <c r="C412" s="24">
        <f t="shared" si="160"/>
        <v>0</v>
      </c>
      <c r="D412" s="30"/>
      <c r="E412" s="30"/>
      <c r="F412" s="30"/>
      <c r="G412" s="30"/>
      <c r="H412" s="31"/>
      <c r="I412" s="31"/>
      <c r="J412" s="31"/>
      <c r="K412" s="31"/>
      <c r="L412" s="24">
        <f t="shared" si="161"/>
        <v>0</v>
      </c>
      <c r="M412" s="30"/>
      <c r="N412" s="30"/>
      <c r="O412" s="30"/>
      <c r="P412" s="30"/>
    </row>
    <row r="413" spans="1:16" s="1" customFormat="1">
      <c r="A413" s="28"/>
      <c r="B413" s="40" t="s">
        <v>35</v>
      </c>
      <c r="C413" s="24">
        <f t="shared" si="160"/>
        <v>5994.45</v>
      </c>
      <c r="D413" s="30">
        <v>39174.089999999997</v>
      </c>
      <c r="E413" s="30">
        <v>2500</v>
      </c>
      <c r="F413" s="30">
        <v>3494.45</v>
      </c>
      <c r="G413" s="30"/>
      <c r="H413" s="31"/>
      <c r="I413" s="31"/>
      <c r="J413" s="31"/>
      <c r="K413" s="31"/>
      <c r="L413" s="24">
        <f t="shared" si="161"/>
        <v>0</v>
      </c>
      <c r="M413" s="30">
        <v>39174.089999999997</v>
      </c>
      <c r="N413" s="30"/>
      <c r="O413" s="30"/>
      <c r="P413" s="30"/>
    </row>
    <row r="414" spans="1:16" s="1" customFormat="1" ht="30">
      <c r="A414" s="28"/>
      <c r="B414" s="41" t="s">
        <v>36</v>
      </c>
      <c r="C414" s="24">
        <f t="shared" si="160"/>
        <v>0</v>
      </c>
      <c r="D414" s="30"/>
      <c r="E414" s="30"/>
      <c r="F414" s="30"/>
      <c r="G414" s="30"/>
      <c r="H414" s="31"/>
      <c r="I414" s="31"/>
      <c r="J414" s="31"/>
      <c r="K414" s="31"/>
      <c r="L414" s="24">
        <f t="shared" si="161"/>
        <v>0</v>
      </c>
      <c r="M414" s="30"/>
      <c r="N414" s="30"/>
      <c r="O414" s="30"/>
      <c r="P414" s="30"/>
    </row>
    <row r="415" spans="1:16" s="1" customFormat="1">
      <c r="A415" s="28"/>
      <c r="B415" s="42" t="s">
        <v>37</v>
      </c>
      <c r="C415" s="24">
        <f t="shared" si="160"/>
        <v>0</v>
      </c>
      <c r="D415" s="30"/>
      <c r="E415" s="30"/>
      <c r="F415" s="30"/>
      <c r="G415" s="30"/>
      <c r="H415" s="31"/>
      <c r="I415" s="31"/>
      <c r="J415" s="31"/>
      <c r="K415" s="31"/>
      <c r="L415" s="24">
        <f t="shared" si="161"/>
        <v>0</v>
      </c>
      <c r="M415" s="30"/>
      <c r="N415" s="30"/>
      <c r="O415" s="30"/>
      <c r="P415" s="30"/>
    </row>
    <row r="416" spans="1:16" s="1" customFormat="1" ht="30">
      <c r="A416" s="28"/>
      <c r="B416" s="42" t="s">
        <v>38</v>
      </c>
      <c r="C416" s="24">
        <f t="shared" si="160"/>
        <v>0</v>
      </c>
      <c r="D416" s="30">
        <v>3100</v>
      </c>
      <c r="E416" s="30"/>
      <c r="F416" s="30"/>
      <c r="G416" s="30"/>
      <c r="H416" s="31"/>
      <c r="I416" s="31"/>
      <c r="J416" s="31"/>
      <c r="K416" s="31"/>
      <c r="L416" s="24">
        <f t="shared" si="161"/>
        <v>0</v>
      </c>
      <c r="M416" s="30">
        <v>3100</v>
      </c>
      <c r="N416" s="30"/>
      <c r="O416" s="30"/>
      <c r="P416" s="30"/>
    </row>
    <row r="417" spans="1:16" s="1" customFormat="1" ht="30">
      <c r="A417" s="28"/>
      <c r="B417" s="43" t="s">
        <v>39</v>
      </c>
      <c r="C417" s="36">
        <f t="shared" ref="C417:G417" si="162">SUM(C418:C424)</f>
        <v>11795.79</v>
      </c>
      <c r="D417" s="36">
        <f t="shared" si="162"/>
        <v>89917.03</v>
      </c>
      <c r="E417" s="36">
        <f t="shared" si="162"/>
        <v>0</v>
      </c>
      <c r="F417" s="36">
        <f t="shared" si="162"/>
        <v>11795.79</v>
      </c>
      <c r="G417" s="36">
        <f t="shared" si="162"/>
        <v>0</v>
      </c>
      <c r="H417" s="31"/>
      <c r="I417" s="31"/>
      <c r="J417" s="31"/>
      <c r="K417" s="31"/>
      <c r="L417" s="36">
        <f t="shared" ref="L417:P417" si="163">SUM(L418:L424)</f>
        <v>0</v>
      </c>
      <c r="M417" s="36">
        <f t="shared" si="163"/>
        <v>89917.03</v>
      </c>
      <c r="N417" s="36">
        <f t="shared" si="163"/>
        <v>0</v>
      </c>
      <c r="O417" s="36">
        <f t="shared" si="163"/>
        <v>0</v>
      </c>
      <c r="P417" s="36">
        <f t="shared" si="163"/>
        <v>0</v>
      </c>
    </row>
    <row r="418" spans="1:16" s="1" customFormat="1" ht="30">
      <c r="A418" s="28" t="s">
        <v>40</v>
      </c>
      <c r="B418" s="39" t="s">
        <v>41</v>
      </c>
      <c r="C418" s="24">
        <f t="shared" ref="C418:C424" si="164">E418+F418+G418</f>
        <v>0</v>
      </c>
      <c r="D418" s="30"/>
      <c r="E418" s="30"/>
      <c r="F418" s="30"/>
      <c r="G418" s="30"/>
      <c r="H418" s="31"/>
      <c r="I418" s="31"/>
      <c r="J418" s="31"/>
      <c r="K418" s="31"/>
      <c r="L418" s="24">
        <f t="shared" ref="L418:L424" si="165">N418+O418+P418</f>
        <v>0</v>
      </c>
      <c r="M418" s="30"/>
      <c r="N418" s="30"/>
      <c r="O418" s="30"/>
      <c r="P418" s="30"/>
    </row>
    <row r="419" spans="1:16" s="1" customFormat="1">
      <c r="A419" s="28"/>
      <c r="B419" s="39" t="s">
        <v>42</v>
      </c>
      <c r="C419" s="24">
        <f t="shared" si="164"/>
        <v>0</v>
      </c>
      <c r="D419" s="30"/>
      <c r="E419" s="30"/>
      <c r="F419" s="30"/>
      <c r="G419" s="30"/>
      <c r="H419" s="31"/>
      <c r="I419" s="31"/>
      <c r="J419" s="31"/>
      <c r="K419" s="31"/>
      <c r="L419" s="24">
        <f t="shared" si="165"/>
        <v>0</v>
      </c>
      <c r="M419" s="30"/>
      <c r="N419" s="30"/>
      <c r="O419" s="30"/>
      <c r="P419" s="30"/>
    </row>
    <row r="420" spans="1:16" s="1" customFormat="1">
      <c r="A420" s="28"/>
      <c r="B420" s="39" t="s">
        <v>43</v>
      </c>
      <c r="C420" s="24">
        <f t="shared" si="164"/>
        <v>0</v>
      </c>
      <c r="D420" s="30"/>
      <c r="E420" s="30"/>
      <c r="F420" s="30"/>
      <c r="G420" s="30"/>
      <c r="H420" s="31"/>
      <c r="I420" s="31"/>
      <c r="J420" s="31"/>
      <c r="K420" s="31"/>
      <c r="L420" s="24">
        <f t="shared" si="165"/>
        <v>0</v>
      </c>
      <c r="M420" s="30"/>
      <c r="N420" s="30"/>
      <c r="O420" s="30"/>
      <c r="P420" s="30"/>
    </row>
    <row r="421" spans="1:16" s="1" customFormat="1">
      <c r="A421" s="28"/>
      <c r="B421" s="39" t="s">
        <v>44</v>
      </c>
      <c r="C421" s="24">
        <f t="shared" si="164"/>
        <v>0</v>
      </c>
      <c r="D421" s="30">
        <v>78745.23</v>
      </c>
      <c r="E421" s="30"/>
      <c r="F421" s="30"/>
      <c r="G421" s="30"/>
      <c r="H421" s="31"/>
      <c r="I421" s="31"/>
      <c r="J421" s="31"/>
      <c r="K421" s="31"/>
      <c r="L421" s="24">
        <f t="shared" si="165"/>
        <v>0</v>
      </c>
      <c r="M421" s="30">
        <v>78745.23</v>
      </c>
      <c r="N421" s="30"/>
      <c r="O421" s="30"/>
      <c r="P421" s="30"/>
    </row>
    <row r="422" spans="1:16" s="1" customFormat="1">
      <c r="A422" s="28"/>
      <c r="B422" s="39" t="s">
        <v>45</v>
      </c>
      <c r="C422" s="24">
        <f t="shared" si="164"/>
        <v>0</v>
      </c>
      <c r="D422" s="30"/>
      <c r="E422" s="30"/>
      <c r="F422" s="30"/>
      <c r="G422" s="30"/>
      <c r="H422" s="31"/>
      <c r="I422" s="31"/>
      <c r="J422" s="31"/>
      <c r="K422" s="31"/>
      <c r="L422" s="24">
        <f t="shared" si="165"/>
        <v>0</v>
      </c>
      <c r="M422" s="30"/>
      <c r="N422" s="30"/>
      <c r="O422" s="30"/>
      <c r="P422" s="30"/>
    </row>
    <row r="423" spans="1:16" s="1" customFormat="1" ht="30">
      <c r="A423" s="28"/>
      <c r="B423" s="39" t="s">
        <v>46</v>
      </c>
      <c r="C423" s="24">
        <f t="shared" si="164"/>
        <v>0</v>
      </c>
      <c r="D423" s="30"/>
      <c r="E423" s="30"/>
      <c r="F423" s="30"/>
      <c r="G423" s="30"/>
      <c r="H423" s="31"/>
      <c r="I423" s="31"/>
      <c r="J423" s="31"/>
      <c r="K423" s="31"/>
      <c r="L423" s="24">
        <f t="shared" si="165"/>
        <v>0</v>
      </c>
      <c r="M423" s="30"/>
      <c r="N423" s="30"/>
      <c r="O423" s="30"/>
      <c r="P423" s="30"/>
    </row>
    <row r="424" spans="1:16" s="1" customFormat="1">
      <c r="A424" s="28"/>
      <c r="B424" s="39" t="s">
        <v>47</v>
      </c>
      <c r="C424" s="24">
        <f t="shared" si="164"/>
        <v>11795.79</v>
      </c>
      <c r="D424" s="30">
        <v>11171.8</v>
      </c>
      <c r="E424" s="30"/>
      <c r="F424" s="30">
        <v>11795.79</v>
      </c>
      <c r="G424" s="30"/>
      <c r="H424" s="31"/>
      <c r="I424" s="31"/>
      <c r="J424" s="31"/>
      <c r="K424" s="31"/>
      <c r="L424" s="24">
        <f t="shared" si="165"/>
        <v>0</v>
      </c>
      <c r="M424" s="30">
        <v>11171.8</v>
      </c>
      <c r="N424" s="30"/>
      <c r="O424" s="30"/>
      <c r="P424" s="30"/>
    </row>
    <row r="425" spans="1:16" s="1" customFormat="1" ht="36.75" customHeight="1">
      <c r="A425" s="211" t="s">
        <v>3</v>
      </c>
      <c r="B425" s="213" t="s">
        <v>4</v>
      </c>
      <c r="C425" s="213" t="s">
        <v>5</v>
      </c>
      <c r="D425" s="10" t="s">
        <v>6</v>
      </c>
      <c r="E425" s="215" t="s">
        <v>7</v>
      </c>
      <c r="F425" s="216"/>
      <c r="G425" s="217"/>
      <c r="H425" s="218" t="s">
        <v>8</v>
      </c>
      <c r="I425" s="218"/>
      <c r="J425" s="218"/>
      <c r="K425" s="11"/>
      <c r="L425" s="219" t="s">
        <v>9</v>
      </c>
      <c r="M425" s="12" t="s">
        <v>6</v>
      </c>
      <c r="N425" s="208" t="s">
        <v>10</v>
      </c>
      <c r="O425" s="209"/>
      <c r="P425" s="210"/>
    </row>
    <row r="426" spans="1:16" s="1" customFormat="1" ht="47.25" customHeight="1">
      <c r="A426" s="212"/>
      <c r="B426" s="214"/>
      <c r="C426" s="214"/>
      <c r="D426" s="13" t="s">
        <v>11</v>
      </c>
      <c r="E426" s="13" t="s">
        <v>12</v>
      </c>
      <c r="F426" s="13" t="s">
        <v>13</v>
      </c>
      <c r="G426" s="13" t="s">
        <v>14</v>
      </c>
      <c r="H426" s="14" t="s">
        <v>15</v>
      </c>
      <c r="I426" s="14" t="s">
        <v>16</v>
      </c>
      <c r="J426" s="14" t="s">
        <v>17</v>
      </c>
      <c r="K426" s="14" t="s">
        <v>18</v>
      </c>
      <c r="L426" s="220"/>
      <c r="M426" s="15" t="s">
        <v>11</v>
      </c>
      <c r="N426" s="15" t="s">
        <v>12</v>
      </c>
      <c r="O426" s="15" t="s">
        <v>13</v>
      </c>
      <c r="P426" s="15" t="s">
        <v>14</v>
      </c>
    </row>
    <row r="427" spans="1:16" s="1" customFormat="1">
      <c r="A427" s="16">
        <v>15</v>
      </c>
      <c r="B427" s="17" t="s">
        <v>61</v>
      </c>
      <c r="C427" s="18">
        <f t="shared" ref="C427:G427" si="166">C428+C429+C430+C431+C432+C433+C434+C435+C440+C441+C442+C443+C444+C445+C446+C447</f>
        <v>1326921.19</v>
      </c>
      <c r="D427" s="18">
        <f t="shared" si="166"/>
        <v>12990.35</v>
      </c>
      <c r="E427" s="18">
        <f t="shared" si="166"/>
        <v>183504.84999999998</v>
      </c>
      <c r="F427" s="18">
        <f t="shared" si="166"/>
        <v>608582.39</v>
      </c>
      <c r="G427" s="18">
        <f t="shared" si="166"/>
        <v>534833.94999999995</v>
      </c>
      <c r="H427" s="19"/>
      <c r="I427" s="20"/>
      <c r="J427" s="20"/>
      <c r="K427" s="11"/>
      <c r="L427" s="18">
        <f t="shared" ref="L427:P427" si="167">L428+L429+L430+L431+L432+L433+L434+L435+L440+L441+L442+L443+L444+L445+L446+L447</f>
        <v>0</v>
      </c>
      <c r="M427" s="18">
        <f t="shared" si="167"/>
        <v>12990.35</v>
      </c>
      <c r="N427" s="18">
        <f t="shared" si="167"/>
        <v>0</v>
      </c>
      <c r="O427" s="18">
        <f t="shared" si="167"/>
        <v>0</v>
      </c>
      <c r="P427" s="18">
        <f t="shared" si="167"/>
        <v>0</v>
      </c>
    </row>
    <row r="428" spans="1:16" s="1" customFormat="1">
      <c r="A428" s="22"/>
      <c r="B428" s="23" t="s">
        <v>20</v>
      </c>
      <c r="C428" s="24">
        <f t="shared" ref="C428:C434" si="168">E428+F428+G428</f>
        <v>779863.61</v>
      </c>
      <c r="D428" s="25"/>
      <c r="E428" s="25"/>
      <c r="F428" s="24">
        <v>245029.66</v>
      </c>
      <c r="G428" s="25">
        <v>534833.94999999995</v>
      </c>
      <c r="H428" s="26"/>
      <c r="I428" s="24"/>
      <c r="J428" s="24"/>
      <c r="K428" s="27"/>
      <c r="L428" s="24">
        <f t="shared" ref="L428:L434" si="169">N428+O428+P428</f>
        <v>0</v>
      </c>
      <c r="M428" s="25"/>
      <c r="N428" s="25"/>
      <c r="O428" s="24"/>
      <c r="P428" s="25"/>
    </row>
    <row r="429" spans="1:16" s="1" customFormat="1">
      <c r="A429" s="28"/>
      <c r="B429" s="29" t="s">
        <v>21</v>
      </c>
      <c r="C429" s="24">
        <f t="shared" si="168"/>
        <v>0</v>
      </c>
      <c r="D429" s="30"/>
      <c r="E429" s="30"/>
      <c r="F429" s="30"/>
      <c r="G429" s="30"/>
      <c r="H429" s="31"/>
      <c r="I429" s="31"/>
      <c r="J429" s="31"/>
      <c r="K429" s="31"/>
      <c r="L429" s="24">
        <f t="shared" si="169"/>
        <v>0</v>
      </c>
      <c r="M429" s="30"/>
      <c r="N429" s="30"/>
      <c r="O429" s="30"/>
      <c r="P429" s="30"/>
    </row>
    <row r="430" spans="1:16" s="1" customFormat="1">
      <c r="A430" s="28"/>
      <c r="B430" s="32" t="s">
        <v>22</v>
      </c>
      <c r="C430" s="24">
        <f t="shared" si="168"/>
        <v>0</v>
      </c>
      <c r="D430" s="30"/>
      <c r="E430" s="30"/>
      <c r="F430" s="30"/>
      <c r="G430" s="30"/>
      <c r="H430" s="31"/>
      <c r="I430" s="31"/>
      <c r="J430" s="31"/>
      <c r="K430" s="31"/>
      <c r="L430" s="24">
        <f t="shared" si="169"/>
        <v>0</v>
      </c>
      <c r="M430" s="30"/>
      <c r="N430" s="30"/>
      <c r="O430" s="30"/>
      <c r="P430" s="30"/>
    </row>
    <row r="431" spans="1:16" s="1" customFormat="1">
      <c r="A431" s="28"/>
      <c r="B431" s="32" t="s">
        <v>23</v>
      </c>
      <c r="C431" s="24">
        <f t="shared" si="168"/>
        <v>0</v>
      </c>
      <c r="D431" s="30"/>
      <c r="E431" s="30"/>
      <c r="F431" s="30"/>
      <c r="G431" s="30"/>
      <c r="H431" s="31"/>
      <c r="I431" s="31"/>
      <c r="J431" s="31"/>
      <c r="K431" s="31"/>
      <c r="L431" s="24">
        <f t="shared" si="169"/>
        <v>0</v>
      </c>
      <c r="M431" s="30"/>
      <c r="N431" s="30"/>
      <c r="O431" s="30"/>
      <c r="P431" s="30"/>
    </row>
    <row r="432" spans="1:16" s="1" customFormat="1">
      <c r="A432" s="28"/>
      <c r="B432" s="29" t="s">
        <v>24</v>
      </c>
      <c r="C432" s="24">
        <f t="shared" si="168"/>
        <v>0</v>
      </c>
      <c r="D432" s="30"/>
      <c r="E432" s="30"/>
      <c r="F432" s="30"/>
      <c r="G432" s="30"/>
      <c r="H432" s="31"/>
      <c r="I432" s="31"/>
      <c r="J432" s="31"/>
      <c r="K432" s="31"/>
      <c r="L432" s="24">
        <f t="shared" si="169"/>
        <v>0</v>
      </c>
      <c r="M432" s="30"/>
      <c r="N432" s="30"/>
      <c r="O432" s="30"/>
      <c r="P432" s="30"/>
    </row>
    <row r="433" spans="1:16" s="1" customFormat="1">
      <c r="A433" s="28"/>
      <c r="B433" s="34" t="s">
        <v>25</v>
      </c>
      <c r="C433" s="24">
        <f t="shared" si="168"/>
        <v>0</v>
      </c>
      <c r="D433" s="30">
        <v>7278.43</v>
      </c>
      <c r="E433" s="30"/>
      <c r="F433" s="30"/>
      <c r="G433" s="30"/>
      <c r="H433" s="31"/>
      <c r="I433" s="31"/>
      <c r="J433" s="31"/>
      <c r="K433" s="31"/>
      <c r="L433" s="24">
        <f t="shared" si="169"/>
        <v>0</v>
      </c>
      <c r="M433" s="30">
        <v>7278.43</v>
      </c>
      <c r="N433" s="30"/>
      <c r="O433" s="30"/>
      <c r="P433" s="30"/>
    </row>
    <row r="434" spans="1:16" s="1" customFormat="1">
      <c r="A434" s="28"/>
      <c r="B434" s="32" t="s">
        <v>26</v>
      </c>
      <c r="C434" s="24">
        <f t="shared" si="168"/>
        <v>0</v>
      </c>
      <c r="D434" s="30"/>
      <c r="E434" s="30"/>
      <c r="F434" s="30"/>
      <c r="G434" s="30"/>
      <c r="H434" s="31"/>
      <c r="I434" s="31"/>
      <c r="J434" s="31"/>
      <c r="K434" s="31"/>
      <c r="L434" s="24">
        <f t="shared" si="169"/>
        <v>0</v>
      </c>
      <c r="M434" s="30"/>
      <c r="N434" s="30"/>
      <c r="O434" s="30"/>
      <c r="P434" s="30"/>
    </row>
    <row r="435" spans="1:16" s="1" customFormat="1" ht="30">
      <c r="A435" s="28"/>
      <c r="B435" s="35" t="s">
        <v>27</v>
      </c>
      <c r="C435" s="36">
        <f t="shared" ref="C435:G435" si="170">SUM(C436:C439)</f>
        <v>36808.879999999997</v>
      </c>
      <c r="D435" s="36">
        <f t="shared" si="170"/>
        <v>5711.92</v>
      </c>
      <c r="E435" s="36">
        <f t="shared" si="170"/>
        <v>36808.879999999997</v>
      </c>
      <c r="F435" s="36">
        <f t="shared" si="170"/>
        <v>0</v>
      </c>
      <c r="G435" s="36">
        <f t="shared" si="170"/>
        <v>0</v>
      </c>
      <c r="H435" s="31"/>
      <c r="I435" s="31"/>
      <c r="J435" s="31"/>
      <c r="K435" s="31"/>
      <c r="L435" s="36">
        <f t="shared" ref="L435:P435" si="171">SUM(L436:L439)</f>
        <v>0</v>
      </c>
      <c r="M435" s="36">
        <f t="shared" si="171"/>
        <v>5711.92</v>
      </c>
      <c r="N435" s="36">
        <f t="shared" si="171"/>
        <v>0</v>
      </c>
      <c r="O435" s="36">
        <f t="shared" si="171"/>
        <v>0</v>
      </c>
      <c r="P435" s="36">
        <f t="shared" si="171"/>
        <v>0</v>
      </c>
    </row>
    <row r="436" spans="1:16" s="1" customFormat="1">
      <c r="A436" s="28"/>
      <c r="B436" s="38" t="s">
        <v>28</v>
      </c>
      <c r="C436" s="24">
        <f t="shared" ref="C436:C446" si="172">E436+F436+G436</f>
        <v>36808.879999999997</v>
      </c>
      <c r="D436" s="30"/>
      <c r="E436" s="30">
        <v>36808.879999999997</v>
      </c>
      <c r="F436" s="30"/>
      <c r="G436" s="30"/>
      <c r="H436" s="31"/>
      <c r="I436" s="31"/>
      <c r="J436" s="31"/>
      <c r="K436" s="31"/>
      <c r="L436" s="24">
        <f t="shared" ref="L436:L446" si="173">N436+O436+P436</f>
        <v>0</v>
      </c>
      <c r="M436" s="30"/>
      <c r="N436" s="30"/>
      <c r="O436" s="30"/>
      <c r="P436" s="30"/>
    </row>
    <row r="437" spans="1:16" s="1" customFormat="1">
      <c r="A437" s="28"/>
      <c r="B437" s="38" t="s">
        <v>29</v>
      </c>
      <c r="C437" s="24">
        <f t="shared" si="172"/>
        <v>0</v>
      </c>
      <c r="D437" s="30">
        <v>5586.95</v>
      </c>
      <c r="E437" s="30"/>
      <c r="F437" s="30"/>
      <c r="G437" s="30"/>
      <c r="H437" s="31"/>
      <c r="I437" s="31"/>
      <c r="J437" s="31"/>
      <c r="K437" s="31"/>
      <c r="L437" s="24">
        <f t="shared" si="173"/>
        <v>0</v>
      </c>
      <c r="M437" s="30">
        <v>5586.95</v>
      </c>
      <c r="N437" s="30"/>
      <c r="O437" s="30"/>
      <c r="P437" s="30"/>
    </row>
    <row r="438" spans="1:16" s="1" customFormat="1">
      <c r="A438" s="28"/>
      <c r="B438" s="38" t="s">
        <v>30</v>
      </c>
      <c r="C438" s="24">
        <f t="shared" si="172"/>
        <v>0</v>
      </c>
      <c r="D438" s="30">
        <v>124.97</v>
      </c>
      <c r="E438" s="30"/>
      <c r="F438" s="30"/>
      <c r="G438" s="30"/>
      <c r="H438" s="31"/>
      <c r="I438" s="31"/>
      <c r="J438" s="31"/>
      <c r="K438" s="31"/>
      <c r="L438" s="24">
        <f t="shared" si="173"/>
        <v>0</v>
      </c>
      <c r="M438" s="30">
        <v>124.97</v>
      </c>
      <c r="N438" s="30"/>
      <c r="O438" s="30"/>
      <c r="P438" s="30"/>
    </row>
    <row r="439" spans="1:16" s="1" customFormat="1">
      <c r="A439" s="28"/>
      <c r="B439" s="38" t="s">
        <v>31</v>
      </c>
      <c r="C439" s="24">
        <f t="shared" si="172"/>
        <v>0</v>
      </c>
      <c r="D439" s="30"/>
      <c r="E439" s="30"/>
      <c r="F439" s="30"/>
      <c r="G439" s="30"/>
      <c r="H439" s="31"/>
      <c r="I439" s="31"/>
      <c r="J439" s="31"/>
      <c r="K439" s="31"/>
      <c r="L439" s="24">
        <f t="shared" si="173"/>
        <v>0</v>
      </c>
      <c r="M439" s="30"/>
      <c r="N439" s="30"/>
      <c r="O439" s="30"/>
      <c r="P439" s="30"/>
    </row>
    <row r="440" spans="1:16" s="1" customFormat="1" ht="30">
      <c r="A440" s="28"/>
      <c r="B440" s="39" t="s">
        <v>32</v>
      </c>
      <c r="C440" s="24">
        <f t="shared" si="172"/>
        <v>0</v>
      </c>
      <c r="D440" s="30"/>
      <c r="E440" s="30"/>
      <c r="F440" s="30"/>
      <c r="G440" s="30"/>
      <c r="H440" s="31"/>
      <c r="I440" s="31"/>
      <c r="J440" s="31"/>
      <c r="K440" s="31"/>
      <c r="L440" s="24">
        <f t="shared" si="173"/>
        <v>0</v>
      </c>
      <c r="M440" s="30"/>
      <c r="N440" s="30"/>
      <c r="O440" s="30"/>
      <c r="P440" s="30"/>
    </row>
    <row r="441" spans="1:16" s="1" customFormat="1" ht="30">
      <c r="A441" s="28"/>
      <c r="B441" s="39" t="s">
        <v>33</v>
      </c>
      <c r="C441" s="24">
        <f t="shared" si="172"/>
        <v>0</v>
      </c>
      <c r="D441" s="30"/>
      <c r="E441" s="30"/>
      <c r="F441" s="30"/>
      <c r="G441" s="30"/>
      <c r="H441" s="31"/>
      <c r="I441" s="31"/>
      <c r="J441" s="31"/>
      <c r="K441" s="31"/>
      <c r="L441" s="24">
        <f t="shared" si="173"/>
        <v>0</v>
      </c>
      <c r="M441" s="30"/>
      <c r="N441" s="30"/>
      <c r="O441" s="30"/>
      <c r="P441" s="30"/>
    </row>
    <row r="442" spans="1:16" s="1" customFormat="1" ht="30">
      <c r="A442" s="28"/>
      <c r="B442" s="40" t="s">
        <v>34</v>
      </c>
      <c r="C442" s="24">
        <f t="shared" si="172"/>
        <v>0</v>
      </c>
      <c r="D442" s="30"/>
      <c r="E442" s="30"/>
      <c r="F442" s="30"/>
      <c r="G442" s="30"/>
      <c r="H442" s="31"/>
      <c r="I442" s="31"/>
      <c r="J442" s="31"/>
      <c r="K442" s="31"/>
      <c r="L442" s="24">
        <f t="shared" si="173"/>
        <v>0</v>
      </c>
      <c r="M442" s="30"/>
      <c r="N442" s="30"/>
      <c r="O442" s="30"/>
      <c r="P442" s="30"/>
    </row>
    <row r="443" spans="1:16" s="1" customFormat="1">
      <c r="A443" s="28"/>
      <c r="B443" s="40" t="s">
        <v>35</v>
      </c>
      <c r="C443" s="24">
        <f t="shared" si="172"/>
        <v>13617.01</v>
      </c>
      <c r="D443" s="30"/>
      <c r="E443" s="30">
        <v>13617.01</v>
      </c>
      <c r="F443" s="30"/>
      <c r="G443" s="30"/>
      <c r="H443" s="31"/>
      <c r="I443" s="31"/>
      <c r="J443" s="31"/>
      <c r="K443" s="31"/>
      <c r="L443" s="24">
        <f t="shared" si="173"/>
        <v>0</v>
      </c>
      <c r="M443" s="30"/>
      <c r="N443" s="30"/>
      <c r="O443" s="30"/>
      <c r="P443" s="30"/>
    </row>
    <row r="444" spans="1:16" s="1" customFormat="1" ht="30">
      <c r="A444" s="28"/>
      <c r="B444" s="41" t="s">
        <v>36</v>
      </c>
      <c r="C444" s="24">
        <f t="shared" si="172"/>
        <v>0</v>
      </c>
      <c r="D444" s="30"/>
      <c r="E444" s="30"/>
      <c r="F444" s="30"/>
      <c r="G444" s="30"/>
      <c r="H444" s="31"/>
      <c r="I444" s="31"/>
      <c r="J444" s="31"/>
      <c r="K444" s="31"/>
      <c r="L444" s="24">
        <f t="shared" si="173"/>
        <v>0</v>
      </c>
      <c r="M444" s="30"/>
      <c r="N444" s="30"/>
      <c r="O444" s="30"/>
      <c r="P444" s="30"/>
    </row>
    <row r="445" spans="1:16" s="1" customFormat="1">
      <c r="A445" s="28"/>
      <c r="B445" s="42" t="s">
        <v>37</v>
      </c>
      <c r="C445" s="24">
        <f t="shared" si="172"/>
        <v>0</v>
      </c>
      <c r="D445" s="30"/>
      <c r="E445" s="30"/>
      <c r="F445" s="30"/>
      <c r="G445" s="30"/>
      <c r="H445" s="31"/>
      <c r="I445" s="31"/>
      <c r="J445" s="31"/>
      <c r="K445" s="31"/>
      <c r="L445" s="24">
        <f t="shared" si="173"/>
        <v>0</v>
      </c>
      <c r="M445" s="30"/>
      <c r="N445" s="30"/>
      <c r="O445" s="30"/>
      <c r="P445" s="30"/>
    </row>
    <row r="446" spans="1:16" s="1" customFormat="1" ht="30">
      <c r="A446" s="28"/>
      <c r="B446" s="42" t="s">
        <v>38</v>
      </c>
      <c r="C446" s="24">
        <f t="shared" si="172"/>
        <v>0</v>
      </c>
      <c r="D446" s="30"/>
      <c r="E446" s="30"/>
      <c r="F446" s="30"/>
      <c r="G446" s="30"/>
      <c r="H446" s="31"/>
      <c r="I446" s="31"/>
      <c r="J446" s="31"/>
      <c r="K446" s="31"/>
      <c r="L446" s="24">
        <f t="shared" si="173"/>
        <v>0</v>
      </c>
      <c r="M446" s="30"/>
      <c r="N446" s="30"/>
      <c r="O446" s="30"/>
      <c r="P446" s="30"/>
    </row>
    <row r="447" spans="1:16" s="1" customFormat="1" ht="30">
      <c r="A447" s="28"/>
      <c r="B447" s="43" t="s">
        <v>39</v>
      </c>
      <c r="C447" s="36">
        <f t="shared" ref="C447:G447" si="174">SUM(C448:C454)</f>
        <v>496631.68999999994</v>
      </c>
      <c r="D447" s="36">
        <f t="shared" si="174"/>
        <v>0</v>
      </c>
      <c r="E447" s="36">
        <f t="shared" si="174"/>
        <v>133078.96</v>
      </c>
      <c r="F447" s="36">
        <f t="shared" si="174"/>
        <v>363552.73</v>
      </c>
      <c r="G447" s="36">
        <f t="shared" si="174"/>
        <v>0</v>
      </c>
      <c r="H447" s="31"/>
      <c r="I447" s="31"/>
      <c r="J447" s="31"/>
      <c r="K447" s="31"/>
      <c r="L447" s="36">
        <f t="shared" ref="L447:P447" si="175">SUM(L448:L454)</f>
        <v>0</v>
      </c>
      <c r="M447" s="36">
        <f t="shared" si="175"/>
        <v>0</v>
      </c>
      <c r="N447" s="36">
        <f t="shared" si="175"/>
        <v>0</v>
      </c>
      <c r="O447" s="36">
        <f t="shared" si="175"/>
        <v>0</v>
      </c>
      <c r="P447" s="36">
        <f t="shared" si="175"/>
        <v>0</v>
      </c>
    </row>
    <row r="448" spans="1:16" s="1" customFormat="1" ht="30">
      <c r="A448" s="28" t="s">
        <v>40</v>
      </c>
      <c r="B448" s="39" t="s">
        <v>41</v>
      </c>
      <c r="C448" s="24">
        <f t="shared" ref="C448:C454" si="176">E448+F448+G448</f>
        <v>0</v>
      </c>
      <c r="D448" s="30"/>
      <c r="E448" s="30"/>
      <c r="F448" s="30"/>
      <c r="G448" s="30"/>
      <c r="H448" s="31"/>
      <c r="I448" s="31"/>
      <c r="J448" s="31"/>
      <c r="K448" s="31"/>
      <c r="L448" s="24">
        <f t="shared" ref="L448:L454" si="177">N448+O448+P448</f>
        <v>0</v>
      </c>
      <c r="M448" s="30"/>
      <c r="N448" s="30"/>
      <c r="O448" s="30"/>
      <c r="P448" s="30"/>
    </row>
    <row r="449" spans="1:16" s="1" customFormat="1">
      <c r="A449" s="28"/>
      <c r="B449" s="39" t="s">
        <v>42</v>
      </c>
      <c r="C449" s="24">
        <f t="shared" si="176"/>
        <v>0</v>
      </c>
      <c r="D449" s="30"/>
      <c r="E449" s="30"/>
      <c r="F449" s="30"/>
      <c r="G449" s="30"/>
      <c r="H449" s="31"/>
      <c r="I449" s="31"/>
      <c r="J449" s="31"/>
      <c r="K449" s="31"/>
      <c r="L449" s="24">
        <f t="shared" si="177"/>
        <v>0</v>
      </c>
      <c r="M449" s="30"/>
      <c r="N449" s="30"/>
      <c r="O449" s="30"/>
      <c r="P449" s="30"/>
    </row>
    <row r="450" spans="1:16" s="1" customFormat="1">
      <c r="A450" s="28"/>
      <c r="B450" s="39" t="s">
        <v>43</v>
      </c>
      <c r="C450" s="24">
        <f t="shared" si="176"/>
        <v>0</v>
      </c>
      <c r="D450" s="30"/>
      <c r="E450" s="30"/>
      <c r="F450" s="30"/>
      <c r="G450" s="30"/>
      <c r="H450" s="31"/>
      <c r="I450" s="31"/>
      <c r="J450" s="31"/>
      <c r="K450" s="31"/>
      <c r="L450" s="24">
        <f t="shared" si="177"/>
        <v>0</v>
      </c>
      <c r="M450" s="30"/>
      <c r="N450" s="30"/>
      <c r="O450" s="30"/>
      <c r="P450" s="30"/>
    </row>
    <row r="451" spans="1:16" s="1" customFormat="1">
      <c r="A451" s="28"/>
      <c r="B451" s="39" t="s">
        <v>44</v>
      </c>
      <c r="C451" s="24">
        <f t="shared" si="176"/>
        <v>0</v>
      </c>
      <c r="D451" s="30"/>
      <c r="E451" s="30"/>
      <c r="F451" s="30"/>
      <c r="G451" s="30"/>
      <c r="H451" s="31"/>
      <c r="I451" s="31"/>
      <c r="J451" s="31"/>
      <c r="K451" s="31"/>
      <c r="L451" s="24">
        <f t="shared" si="177"/>
        <v>0</v>
      </c>
      <c r="M451" s="30"/>
      <c r="N451" s="30"/>
      <c r="O451" s="30"/>
      <c r="P451" s="30"/>
    </row>
    <row r="452" spans="1:16" s="1" customFormat="1">
      <c r="A452" s="28"/>
      <c r="B452" s="39" t="s">
        <v>45</v>
      </c>
      <c r="C452" s="24">
        <f t="shared" si="176"/>
        <v>0</v>
      </c>
      <c r="D452" s="30"/>
      <c r="E452" s="30"/>
      <c r="F452" s="30"/>
      <c r="G452" s="30"/>
      <c r="H452" s="31"/>
      <c r="I452" s="31"/>
      <c r="J452" s="31"/>
      <c r="K452" s="31"/>
      <c r="L452" s="24">
        <f t="shared" si="177"/>
        <v>0</v>
      </c>
      <c r="M452" s="30"/>
      <c r="N452" s="30"/>
      <c r="O452" s="30"/>
      <c r="P452" s="30"/>
    </row>
    <row r="453" spans="1:16" s="1" customFormat="1" ht="30">
      <c r="A453" s="28"/>
      <c r="B453" s="39" t="s">
        <v>46</v>
      </c>
      <c r="C453" s="24">
        <f t="shared" si="176"/>
        <v>0</v>
      </c>
      <c r="D453" s="30"/>
      <c r="E453" s="30"/>
      <c r="F453" s="30"/>
      <c r="G453" s="30"/>
      <c r="H453" s="31"/>
      <c r="I453" s="31"/>
      <c r="J453" s="31"/>
      <c r="K453" s="31"/>
      <c r="L453" s="24">
        <f t="shared" si="177"/>
        <v>0</v>
      </c>
      <c r="M453" s="30"/>
      <c r="N453" s="30"/>
      <c r="O453" s="30"/>
      <c r="P453" s="30"/>
    </row>
    <row r="454" spans="1:16" s="1" customFormat="1">
      <c r="A454" s="28"/>
      <c r="B454" s="39" t="s">
        <v>47</v>
      </c>
      <c r="C454" s="24">
        <f t="shared" si="176"/>
        <v>496631.68999999994</v>
      </c>
      <c r="D454" s="30"/>
      <c r="E454" s="30">
        <v>133078.96</v>
      </c>
      <c r="F454" s="30">
        <f>328985.5+34567.23</f>
        <v>363552.73</v>
      </c>
      <c r="G454" s="30"/>
      <c r="H454" s="31"/>
      <c r="I454" s="31"/>
      <c r="J454" s="31"/>
      <c r="K454" s="31"/>
      <c r="L454" s="24">
        <f t="shared" si="177"/>
        <v>0</v>
      </c>
      <c r="M454" s="30"/>
      <c r="N454" s="30"/>
      <c r="O454" s="30"/>
      <c r="P454" s="30"/>
    </row>
    <row r="455" spans="1:16" s="1" customFormat="1" ht="36.75" customHeight="1">
      <c r="A455" s="211" t="s">
        <v>3</v>
      </c>
      <c r="B455" s="213" t="s">
        <v>4</v>
      </c>
      <c r="C455" s="213" t="s">
        <v>5</v>
      </c>
      <c r="D455" s="10" t="s">
        <v>6</v>
      </c>
      <c r="E455" s="215" t="s">
        <v>7</v>
      </c>
      <c r="F455" s="216"/>
      <c r="G455" s="217"/>
      <c r="H455" s="218" t="s">
        <v>8</v>
      </c>
      <c r="I455" s="218"/>
      <c r="J455" s="218"/>
      <c r="K455" s="11"/>
      <c r="L455" s="219" t="s">
        <v>9</v>
      </c>
      <c r="M455" s="12" t="s">
        <v>6</v>
      </c>
      <c r="N455" s="208" t="s">
        <v>10</v>
      </c>
      <c r="O455" s="209"/>
      <c r="P455" s="210"/>
    </row>
    <row r="456" spans="1:16" s="1" customFormat="1" ht="47.25" customHeight="1">
      <c r="A456" s="212"/>
      <c r="B456" s="214"/>
      <c r="C456" s="214"/>
      <c r="D456" s="13" t="s">
        <v>11</v>
      </c>
      <c r="E456" s="13" t="s">
        <v>12</v>
      </c>
      <c r="F456" s="13" t="s">
        <v>13</v>
      </c>
      <c r="G456" s="13" t="s">
        <v>14</v>
      </c>
      <c r="H456" s="14" t="s">
        <v>15</v>
      </c>
      <c r="I456" s="14" t="s">
        <v>16</v>
      </c>
      <c r="J456" s="14" t="s">
        <v>17</v>
      </c>
      <c r="K456" s="14" t="s">
        <v>18</v>
      </c>
      <c r="L456" s="220"/>
      <c r="M456" s="15" t="s">
        <v>11</v>
      </c>
      <c r="N456" s="15" t="s">
        <v>12</v>
      </c>
      <c r="O456" s="15" t="s">
        <v>13</v>
      </c>
      <c r="P456" s="15" t="s">
        <v>14</v>
      </c>
    </row>
    <row r="457" spans="1:16" s="1" customFormat="1">
      <c r="A457" s="45">
        <v>16</v>
      </c>
      <c r="B457" s="17" t="s">
        <v>62</v>
      </c>
      <c r="C457" s="46">
        <f t="shared" ref="C457:G457" si="178">C458+C459+C460+C461+C462+C463+C464+C465+C470+C471+C472+C473+C474+C475+C476+C477</f>
        <v>438832.26</v>
      </c>
      <c r="D457" s="46">
        <f t="shared" si="178"/>
        <v>707703.12000000011</v>
      </c>
      <c r="E457" s="46">
        <f t="shared" si="178"/>
        <v>29569.399999999998</v>
      </c>
      <c r="F457" s="46">
        <f t="shared" si="178"/>
        <v>407245.86</v>
      </c>
      <c r="G457" s="46">
        <f t="shared" si="178"/>
        <v>2017</v>
      </c>
      <c r="H457" s="57"/>
      <c r="I457" s="58"/>
      <c r="J457" s="58"/>
      <c r="K457" s="11"/>
      <c r="L457" s="46">
        <f t="shared" ref="L457:P457" si="179">L458+L459+L460+L461+L462+L463+L464+L465+L470+L471+L472+L473+L474+L475+L476+L477</f>
        <v>0</v>
      </c>
      <c r="M457" s="46">
        <f t="shared" si="179"/>
        <v>707703.12000000011</v>
      </c>
      <c r="N457" s="46">
        <f t="shared" si="179"/>
        <v>0</v>
      </c>
      <c r="O457" s="46">
        <f t="shared" si="179"/>
        <v>0</v>
      </c>
      <c r="P457" s="46">
        <f t="shared" si="179"/>
        <v>0</v>
      </c>
    </row>
    <row r="458" spans="1:16" s="5" customFormat="1">
      <c r="A458" s="22"/>
      <c r="B458" s="59" t="s">
        <v>20</v>
      </c>
      <c r="C458" s="24">
        <f t="shared" ref="C458:C464" si="180">E458+F458+G458</f>
        <v>153049.75</v>
      </c>
      <c r="D458" s="25"/>
      <c r="E458" s="25"/>
      <c r="F458" s="25">
        <v>151032.75</v>
      </c>
      <c r="G458" s="25">
        <v>2017</v>
      </c>
      <c r="H458" s="60"/>
      <c r="I458" s="61"/>
      <c r="J458" s="61"/>
      <c r="K458" s="27"/>
      <c r="L458" s="24">
        <f t="shared" ref="L458:L464" si="181">N458+O458+P458</f>
        <v>0</v>
      </c>
      <c r="M458" s="25"/>
      <c r="N458" s="25"/>
      <c r="O458" s="25"/>
      <c r="P458" s="25"/>
    </row>
    <row r="459" spans="1:16" s="1" customFormat="1">
      <c r="A459" s="28"/>
      <c r="B459" s="29" t="s">
        <v>21</v>
      </c>
      <c r="C459" s="24">
        <f t="shared" si="180"/>
        <v>787.35</v>
      </c>
      <c r="D459" s="30">
        <v>458.57</v>
      </c>
      <c r="E459" s="30">
        <v>787.35</v>
      </c>
      <c r="F459" s="30"/>
      <c r="G459" s="30"/>
      <c r="H459" s="31"/>
      <c r="I459" s="31"/>
      <c r="J459" s="31"/>
      <c r="K459" s="31"/>
      <c r="L459" s="24">
        <f t="shared" si="181"/>
        <v>0</v>
      </c>
      <c r="M459" s="30">
        <v>458.57</v>
      </c>
      <c r="N459" s="30"/>
      <c r="O459" s="30"/>
      <c r="P459" s="30"/>
    </row>
    <row r="460" spans="1:16" s="1" customFormat="1">
      <c r="A460" s="28"/>
      <c r="B460" s="32" t="s">
        <v>22</v>
      </c>
      <c r="C460" s="24">
        <f t="shared" si="180"/>
        <v>0</v>
      </c>
      <c r="D460" s="30"/>
      <c r="E460" s="30"/>
      <c r="F460" s="30"/>
      <c r="G460" s="30"/>
      <c r="H460" s="31"/>
      <c r="I460" s="31"/>
      <c r="J460" s="31"/>
      <c r="K460" s="31"/>
      <c r="L460" s="24">
        <f t="shared" si="181"/>
        <v>0</v>
      </c>
      <c r="M460" s="30"/>
      <c r="N460" s="30"/>
      <c r="O460" s="30"/>
      <c r="P460" s="30"/>
    </row>
    <row r="461" spans="1:16" s="1" customFormat="1">
      <c r="A461" s="28"/>
      <c r="B461" s="32" t="s">
        <v>23</v>
      </c>
      <c r="C461" s="24">
        <f t="shared" si="180"/>
        <v>0</v>
      </c>
      <c r="D461" s="30"/>
      <c r="E461" s="30"/>
      <c r="F461" s="30"/>
      <c r="G461" s="30"/>
      <c r="H461" s="31"/>
      <c r="I461" s="31"/>
      <c r="J461" s="31"/>
      <c r="K461" s="31"/>
      <c r="L461" s="24">
        <f t="shared" si="181"/>
        <v>0</v>
      </c>
      <c r="M461" s="30"/>
      <c r="N461" s="30"/>
      <c r="O461" s="30"/>
      <c r="P461" s="30"/>
    </row>
    <row r="462" spans="1:16" s="1" customFormat="1">
      <c r="A462" s="28"/>
      <c r="B462" s="29" t="s">
        <v>24</v>
      </c>
      <c r="C462" s="24">
        <f t="shared" si="180"/>
        <v>8001.8799999999992</v>
      </c>
      <c r="D462" s="30">
        <f>13022.16+4.91+20.02</f>
        <v>13047.09</v>
      </c>
      <c r="E462" s="30">
        <f>57.5+1494.69+6449.69</f>
        <v>8001.8799999999992</v>
      </c>
      <c r="F462" s="30"/>
      <c r="G462" s="30"/>
      <c r="H462" s="31"/>
      <c r="I462" s="31"/>
      <c r="J462" s="31"/>
      <c r="K462" s="31"/>
      <c r="L462" s="24">
        <f t="shared" si="181"/>
        <v>0</v>
      </c>
      <c r="M462" s="30">
        <f>13022.16+4.91+20.02</f>
        <v>13047.09</v>
      </c>
      <c r="N462" s="30"/>
      <c r="O462" s="30"/>
      <c r="P462" s="30"/>
    </row>
    <row r="463" spans="1:16" s="1" customFormat="1">
      <c r="A463" s="28"/>
      <c r="B463" s="34" t="s">
        <v>25</v>
      </c>
      <c r="C463" s="24">
        <f t="shared" si="180"/>
        <v>0</v>
      </c>
      <c r="D463" s="62">
        <v>13405.08</v>
      </c>
      <c r="E463" s="30"/>
      <c r="F463" s="30"/>
      <c r="G463" s="30"/>
      <c r="H463" s="31"/>
      <c r="I463" s="31"/>
      <c r="J463" s="31"/>
      <c r="K463" s="31"/>
      <c r="L463" s="24">
        <f t="shared" si="181"/>
        <v>0</v>
      </c>
      <c r="M463" s="62">
        <v>13405.08</v>
      </c>
      <c r="N463" s="30"/>
      <c r="O463" s="30"/>
      <c r="P463" s="30"/>
    </row>
    <row r="464" spans="1:16" s="1" customFormat="1">
      <c r="A464" s="28"/>
      <c r="B464" s="32" t="s">
        <v>26</v>
      </c>
      <c r="C464" s="24">
        <f t="shared" si="180"/>
        <v>0</v>
      </c>
      <c r="D464" s="30"/>
      <c r="E464" s="30"/>
      <c r="F464" s="30"/>
      <c r="G464" s="30"/>
      <c r="H464" s="31"/>
      <c r="I464" s="31"/>
      <c r="J464" s="31"/>
      <c r="K464" s="31"/>
      <c r="L464" s="24">
        <f t="shared" si="181"/>
        <v>0</v>
      </c>
      <c r="M464" s="30"/>
      <c r="N464" s="30"/>
      <c r="O464" s="30"/>
      <c r="P464" s="30"/>
    </row>
    <row r="465" spans="1:16" s="1" customFormat="1" ht="30">
      <c r="A465" s="28"/>
      <c r="B465" s="35" t="s">
        <v>27</v>
      </c>
      <c r="C465" s="36">
        <f t="shared" ref="C465:G465" si="182">SUM(C466:C469)</f>
        <v>0</v>
      </c>
      <c r="D465" s="63">
        <f t="shared" si="182"/>
        <v>450531.28</v>
      </c>
      <c r="E465" s="36">
        <f t="shared" si="182"/>
        <v>0</v>
      </c>
      <c r="F465" s="36">
        <f t="shared" si="182"/>
        <v>0</v>
      </c>
      <c r="G465" s="36">
        <f t="shared" si="182"/>
        <v>0</v>
      </c>
      <c r="H465" s="31"/>
      <c r="I465" s="31"/>
      <c r="J465" s="31"/>
      <c r="K465" s="31"/>
      <c r="L465" s="36">
        <f t="shared" ref="L465:P465" si="183">SUM(L466:L469)</f>
        <v>0</v>
      </c>
      <c r="M465" s="63">
        <f t="shared" si="183"/>
        <v>450531.28</v>
      </c>
      <c r="N465" s="36">
        <f t="shared" si="183"/>
        <v>0</v>
      </c>
      <c r="O465" s="36">
        <f t="shared" si="183"/>
        <v>0</v>
      </c>
      <c r="P465" s="36">
        <f t="shared" si="183"/>
        <v>0</v>
      </c>
    </row>
    <row r="466" spans="1:16" s="1" customFormat="1">
      <c r="A466" s="28"/>
      <c r="B466" s="38" t="s">
        <v>28</v>
      </c>
      <c r="C466" s="24">
        <f t="shared" ref="C466:C476" si="184">E466+F466+G466</f>
        <v>0</v>
      </c>
      <c r="D466" s="30">
        <v>438205.15</v>
      </c>
      <c r="E466" s="30"/>
      <c r="F466" s="30"/>
      <c r="G466" s="30"/>
      <c r="H466" s="31"/>
      <c r="I466" s="31"/>
      <c r="J466" s="31"/>
      <c r="K466" s="31"/>
      <c r="L466" s="24">
        <f t="shared" ref="L466:L476" si="185">N466+O466+P466</f>
        <v>0</v>
      </c>
      <c r="M466" s="30">
        <v>438205.15</v>
      </c>
      <c r="N466" s="30"/>
      <c r="O466" s="30"/>
      <c r="P466" s="30"/>
    </row>
    <row r="467" spans="1:16" s="1" customFormat="1">
      <c r="A467" s="28"/>
      <c r="B467" s="38" t="s">
        <v>29</v>
      </c>
      <c r="C467" s="24">
        <f t="shared" si="184"/>
        <v>0</v>
      </c>
      <c r="D467" s="30">
        <v>12326.13</v>
      </c>
      <c r="E467" s="30"/>
      <c r="F467" s="30"/>
      <c r="G467" s="30"/>
      <c r="H467" s="31"/>
      <c r="I467" s="31"/>
      <c r="J467" s="31"/>
      <c r="K467" s="31"/>
      <c r="L467" s="24">
        <f t="shared" si="185"/>
        <v>0</v>
      </c>
      <c r="M467" s="30">
        <v>12326.13</v>
      </c>
      <c r="N467" s="30"/>
      <c r="O467" s="30"/>
      <c r="P467" s="30"/>
    </row>
    <row r="468" spans="1:16" s="1" customFormat="1">
      <c r="A468" s="28"/>
      <c r="B468" s="38" t="s">
        <v>30</v>
      </c>
      <c r="C468" s="24">
        <f t="shared" si="184"/>
        <v>0</v>
      </c>
      <c r="D468" s="30"/>
      <c r="E468" s="30"/>
      <c r="F468" s="30"/>
      <c r="G468" s="30"/>
      <c r="H468" s="31"/>
      <c r="I468" s="31"/>
      <c r="J468" s="31"/>
      <c r="K468" s="31"/>
      <c r="L468" s="24">
        <f t="shared" si="185"/>
        <v>0</v>
      </c>
      <c r="M468" s="30"/>
      <c r="N468" s="30"/>
      <c r="O468" s="30"/>
      <c r="P468" s="30"/>
    </row>
    <row r="469" spans="1:16" s="1" customFormat="1">
      <c r="A469" s="28"/>
      <c r="B469" s="38" t="s">
        <v>31</v>
      </c>
      <c r="C469" s="24">
        <f t="shared" si="184"/>
        <v>0</v>
      </c>
      <c r="D469" s="30"/>
      <c r="E469" s="30"/>
      <c r="F469" s="30"/>
      <c r="G469" s="30"/>
      <c r="H469" s="31"/>
      <c r="I469" s="31"/>
      <c r="J469" s="31"/>
      <c r="K469" s="31"/>
      <c r="L469" s="24">
        <f t="shared" si="185"/>
        <v>0</v>
      </c>
      <c r="M469" s="30"/>
      <c r="N469" s="30"/>
      <c r="O469" s="30"/>
      <c r="P469" s="30"/>
    </row>
    <row r="470" spans="1:16" s="1" customFormat="1" ht="30">
      <c r="A470" s="28"/>
      <c r="B470" s="39" t="s">
        <v>32</v>
      </c>
      <c r="C470" s="24">
        <f t="shared" si="184"/>
        <v>0</v>
      </c>
      <c r="D470" s="30"/>
      <c r="E470" s="30"/>
      <c r="F470" s="30"/>
      <c r="G470" s="30"/>
      <c r="H470" s="31"/>
      <c r="I470" s="31"/>
      <c r="J470" s="31"/>
      <c r="K470" s="31"/>
      <c r="L470" s="24">
        <f t="shared" si="185"/>
        <v>0</v>
      </c>
      <c r="M470" s="30"/>
      <c r="N470" s="30"/>
      <c r="O470" s="30"/>
      <c r="P470" s="30"/>
    </row>
    <row r="471" spans="1:16" s="1" customFormat="1" ht="30">
      <c r="A471" s="28"/>
      <c r="B471" s="39" t="s">
        <v>33</v>
      </c>
      <c r="C471" s="24">
        <f t="shared" si="184"/>
        <v>0</v>
      </c>
      <c r="D471" s="30"/>
      <c r="E471" s="30"/>
      <c r="F471" s="30"/>
      <c r="G471" s="30"/>
      <c r="H471" s="31"/>
      <c r="I471" s="31"/>
      <c r="J471" s="31"/>
      <c r="K471" s="31"/>
      <c r="L471" s="24">
        <f t="shared" si="185"/>
        <v>0</v>
      </c>
      <c r="M471" s="30"/>
      <c r="N471" s="30"/>
      <c r="O471" s="30"/>
      <c r="P471" s="30"/>
    </row>
    <row r="472" spans="1:16" s="1" customFormat="1" ht="30">
      <c r="A472" s="28"/>
      <c r="B472" s="40" t="s">
        <v>34</v>
      </c>
      <c r="C472" s="24">
        <f t="shared" si="184"/>
        <v>0</v>
      </c>
      <c r="D472" s="62">
        <v>28940</v>
      </c>
      <c r="E472" s="30"/>
      <c r="F472" s="30"/>
      <c r="G472" s="30"/>
      <c r="H472" s="31"/>
      <c r="I472" s="31"/>
      <c r="J472" s="31"/>
      <c r="K472" s="31"/>
      <c r="L472" s="24">
        <f t="shared" si="185"/>
        <v>0</v>
      </c>
      <c r="M472" s="62">
        <v>28940</v>
      </c>
      <c r="N472" s="30"/>
      <c r="O472" s="30"/>
      <c r="P472" s="30"/>
    </row>
    <row r="473" spans="1:16" s="1" customFormat="1">
      <c r="A473" s="28"/>
      <c r="B473" s="40" t="s">
        <v>35</v>
      </c>
      <c r="C473" s="24">
        <f t="shared" si="184"/>
        <v>0</v>
      </c>
      <c r="D473" s="62">
        <f>24732.95+29664+9658.07</f>
        <v>64055.02</v>
      </c>
      <c r="E473" s="30"/>
      <c r="F473" s="30"/>
      <c r="G473" s="30"/>
      <c r="H473" s="31"/>
      <c r="I473" s="31"/>
      <c r="J473" s="31"/>
      <c r="K473" s="31"/>
      <c r="L473" s="24">
        <f t="shared" si="185"/>
        <v>0</v>
      </c>
      <c r="M473" s="62">
        <f>24732.95+29664+9658.07</f>
        <v>64055.02</v>
      </c>
      <c r="N473" s="30"/>
      <c r="O473" s="30"/>
      <c r="P473" s="30"/>
    </row>
    <row r="474" spans="1:16" s="1" customFormat="1" ht="30">
      <c r="A474" s="28"/>
      <c r="B474" s="41" t="s">
        <v>36</v>
      </c>
      <c r="C474" s="24">
        <f t="shared" si="184"/>
        <v>0</v>
      </c>
      <c r="D474" s="30"/>
      <c r="E474" s="30"/>
      <c r="F474" s="30"/>
      <c r="G474" s="30"/>
      <c r="H474" s="31"/>
      <c r="I474" s="31"/>
      <c r="J474" s="31"/>
      <c r="K474" s="31"/>
      <c r="L474" s="24">
        <f t="shared" si="185"/>
        <v>0</v>
      </c>
      <c r="M474" s="30"/>
      <c r="N474" s="30"/>
      <c r="O474" s="30"/>
      <c r="P474" s="30"/>
    </row>
    <row r="475" spans="1:16" s="1" customFormat="1">
      <c r="A475" s="28"/>
      <c r="B475" s="42" t="s">
        <v>37</v>
      </c>
      <c r="C475" s="24">
        <f t="shared" si="184"/>
        <v>452.66</v>
      </c>
      <c r="D475" s="30">
        <f>201.87+1+456.43</f>
        <v>659.3</v>
      </c>
      <c r="E475" s="30">
        <v>452.66</v>
      </c>
      <c r="F475" s="30"/>
      <c r="G475" s="30"/>
      <c r="H475" s="31"/>
      <c r="I475" s="31"/>
      <c r="J475" s="31"/>
      <c r="K475" s="31"/>
      <c r="L475" s="24">
        <f t="shared" si="185"/>
        <v>0</v>
      </c>
      <c r="M475" s="30">
        <f>201.87+1+456.43</f>
        <v>659.3</v>
      </c>
      <c r="N475" s="30"/>
      <c r="O475" s="30"/>
      <c r="P475" s="30"/>
    </row>
    <row r="476" spans="1:16" s="1" customFormat="1" ht="30">
      <c r="A476" s="28"/>
      <c r="B476" s="42" t="s">
        <v>38</v>
      </c>
      <c r="C476" s="24">
        <f t="shared" si="184"/>
        <v>0</v>
      </c>
      <c r="D476" s="30"/>
      <c r="E476" s="30"/>
      <c r="F476" s="30"/>
      <c r="G476" s="30"/>
      <c r="H476" s="31"/>
      <c r="I476" s="31"/>
      <c r="J476" s="31"/>
      <c r="K476" s="31"/>
      <c r="L476" s="24">
        <f t="shared" si="185"/>
        <v>0</v>
      </c>
      <c r="M476" s="30"/>
      <c r="N476" s="30"/>
      <c r="O476" s="30"/>
      <c r="P476" s="30"/>
    </row>
    <row r="477" spans="1:16" s="1" customFormat="1" ht="30">
      <c r="A477" s="28"/>
      <c r="B477" s="43" t="s">
        <v>39</v>
      </c>
      <c r="C477" s="36">
        <f t="shared" ref="C477:G477" si="186">SUM(C478:C484)</f>
        <v>276540.62</v>
      </c>
      <c r="D477" s="63">
        <f t="shared" si="186"/>
        <v>136606.78</v>
      </c>
      <c r="E477" s="36">
        <f t="shared" si="186"/>
        <v>20327.509999999998</v>
      </c>
      <c r="F477" s="36">
        <f t="shared" si="186"/>
        <v>256213.11</v>
      </c>
      <c r="G477" s="36">
        <f t="shared" si="186"/>
        <v>0</v>
      </c>
      <c r="H477" s="31"/>
      <c r="I477" s="31"/>
      <c r="J477" s="31"/>
      <c r="K477" s="31"/>
      <c r="L477" s="36">
        <f t="shared" ref="L477:P477" si="187">SUM(L478:L484)</f>
        <v>0</v>
      </c>
      <c r="M477" s="63">
        <f t="shared" si="187"/>
        <v>136606.78</v>
      </c>
      <c r="N477" s="36">
        <f t="shared" si="187"/>
        <v>0</v>
      </c>
      <c r="O477" s="36">
        <f t="shared" si="187"/>
        <v>0</v>
      </c>
      <c r="P477" s="36">
        <f t="shared" si="187"/>
        <v>0</v>
      </c>
    </row>
    <row r="478" spans="1:16" s="1" customFormat="1" ht="30">
      <c r="A478" s="28" t="s">
        <v>40</v>
      </c>
      <c r="B478" s="39" t="s">
        <v>41</v>
      </c>
      <c r="C478" s="24">
        <f t="shared" ref="C478:C484" si="188">E478+F478+G478</f>
        <v>0</v>
      </c>
      <c r="D478" s="30"/>
      <c r="E478" s="30"/>
      <c r="F478" s="30"/>
      <c r="G478" s="30"/>
      <c r="H478" s="31"/>
      <c r="I478" s="31"/>
      <c r="J478" s="31"/>
      <c r="K478" s="31"/>
      <c r="L478" s="24">
        <f t="shared" ref="L478:L484" si="189">N478+O478+P478</f>
        <v>0</v>
      </c>
      <c r="M478" s="30"/>
      <c r="N478" s="30"/>
      <c r="O478" s="30"/>
      <c r="P478" s="30"/>
    </row>
    <row r="479" spans="1:16" s="1" customFormat="1">
      <c r="A479" s="28"/>
      <c r="B479" s="39" t="s">
        <v>42</v>
      </c>
      <c r="C479" s="24">
        <f t="shared" si="188"/>
        <v>0</v>
      </c>
      <c r="D479" s="30"/>
      <c r="E479" s="30"/>
      <c r="F479" s="30"/>
      <c r="G479" s="30"/>
      <c r="H479" s="31"/>
      <c r="I479" s="31"/>
      <c r="J479" s="31"/>
      <c r="K479" s="31"/>
      <c r="L479" s="24">
        <f t="shared" si="189"/>
        <v>0</v>
      </c>
      <c r="M479" s="30"/>
      <c r="N479" s="30"/>
      <c r="O479" s="30"/>
      <c r="P479" s="30"/>
    </row>
    <row r="480" spans="1:16" s="1" customFormat="1">
      <c r="A480" s="28"/>
      <c r="B480" s="39" t="s">
        <v>43</v>
      </c>
      <c r="C480" s="24">
        <f t="shared" si="188"/>
        <v>0</v>
      </c>
      <c r="D480" s="30"/>
      <c r="E480" s="30"/>
      <c r="F480" s="30"/>
      <c r="G480" s="30"/>
      <c r="H480" s="31"/>
      <c r="I480" s="31"/>
      <c r="J480" s="31"/>
      <c r="K480" s="31"/>
      <c r="L480" s="24">
        <f t="shared" si="189"/>
        <v>0</v>
      </c>
      <c r="M480" s="30"/>
      <c r="N480" s="30"/>
      <c r="O480" s="30"/>
      <c r="P480" s="30"/>
    </row>
    <row r="481" spans="1:16" s="1" customFormat="1">
      <c r="A481" s="28"/>
      <c r="B481" s="39" t="s">
        <v>44</v>
      </c>
      <c r="C481" s="24">
        <f t="shared" si="188"/>
        <v>276540.62</v>
      </c>
      <c r="D481" s="30">
        <f>3850.21+6.28+4499.4+15599.05+112651.84</f>
        <v>136606.78</v>
      </c>
      <c r="E481" s="30">
        <f>7899.7+12427.81</f>
        <v>20327.509999999998</v>
      </c>
      <c r="F481" s="30">
        <f>93466.01+52048.6+110698.5</f>
        <v>256213.11</v>
      </c>
      <c r="G481" s="30"/>
      <c r="H481" s="31"/>
      <c r="I481" s="31"/>
      <c r="J481" s="31"/>
      <c r="K481" s="31"/>
      <c r="L481" s="24">
        <f t="shared" si="189"/>
        <v>0</v>
      </c>
      <c r="M481" s="30">
        <f>3850.21+6.28+4499.4+15599.05+112651.84</f>
        <v>136606.78</v>
      </c>
      <c r="N481" s="30"/>
      <c r="O481" s="30"/>
      <c r="P481" s="30"/>
    </row>
    <row r="482" spans="1:16" s="1" customFormat="1">
      <c r="A482" s="28"/>
      <c r="B482" s="39" t="s">
        <v>45</v>
      </c>
      <c r="C482" s="24">
        <f t="shared" si="188"/>
        <v>0</v>
      </c>
      <c r="D482" s="30"/>
      <c r="E482" s="30"/>
      <c r="F482" s="30"/>
      <c r="G482" s="30"/>
      <c r="H482" s="31"/>
      <c r="I482" s="31"/>
      <c r="J482" s="31"/>
      <c r="K482" s="31"/>
      <c r="L482" s="24">
        <f t="shared" si="189"/>
        <v>0</v>
      </c>
      <c r="M482" s="30"/>
      <c r="N482" s="30"/>
      <c r="O482" s="30"/>
      <c r="P482" s="30"/>
    </row>
    <row r="483" spans="1:16" s="1" customFormat="1" ht="30">
      <c r="A483" s="28"/>
      <c r="B483" s="39" t="s">
        <v>46</v>
      </c>
      <c r="C483" s="24">
        <f t="shared" si="188"/>
        <v>0</v>
      </c>
      <c r="D483" s="30"/>
      <c r="E483" s="30"/>
      <c r="F483" s="30"/>
      <c r="G483" s="30"/>
      <c r="H483" s="31"/>
      <c r="I483" s="31"/>
      <c r="J483" s="31"/>
      <c r="K483" s="31"/>
      <c r="L483" s="24">
        <f t="shared" si="189"/>
        <v>0</v>
      </c>
      <c r="M483" s="30"/>
      <c r="N483" s="30"/>
      <c r="O483" s="30"/>
      <c r="P483" s="30"/>
    </row>
    <row r="484" spans="1:16" s="1" customFormat="1">
      <c r="A484" s="28"/>
      <c r="B484" s="39" t="s">
        <v>47</v>
      </c>
      <c r="C484" s="24">
        <f t="shared" si="188"/>
        <v>0</v>
      </c>
      <c r="D484" s="30"/>
      <c r="E484" s="30"/>
      <c r="F484" s="30"/>
      <c r="G484" s="30"/>
      <c r="H484" s="31"/>
      <c r="I484" s="31"/>
      <c r="J484" s="31"/>
      <c r="K484" s="31"/>
      <c r="L484" s="24">
        <f t="shared" si="189"/>
        <v>0</v>
      </c>
      <c r="M484" s="30"/>
      <c r="N484" s="30"/>
      <c r="O484" s="30"/>
      <c r="P484" s="30"/>
    </row>
    <row r="485" spans="1:16" s="1" customFormat="1" ht="36.75" customHeight="1">
      <c r="A485" s="211" t="s">
        <v>3</v>
      </c>
      <c r="B485" s="213" t="s">
        <v>4</v>
      </c>
      <c r="C485" s="213" t="s">
        <v>5</v>
      </c>
      <c r="D485" s="10" t="s">
        <v>6</v>
      </c>
      <c r="E485" s="215" t="s">
        <v>7</v>
      </c>
      <c r="F485" s="216"/>
      <c r="G485" s="217"/>
      <c r="H485" s="218" t="s">
        <v>8</v>
      </c>
      <c r="I485" s="218"/>
      <c r="J485" s="218"/>
      <c r="K485" s="11"/>
      <c r="L485" s="219" t="s">
        <v>9</v>
      </c>
      <c r="M485" s="12" t="s">
        <v>6</v>
      </c>
      <c r="N485" s="208" t="s">
        <v>10</v>
      </c>
      <c r="O485" s="209"/>
      <c r="P485" s="210"/>
    </row>
    <row r="486" spans="1:16" s="1" customFormat="1" ht="47.25" customHeight="1">
      <c r="A486" s="212"/>
      <c r="B486" s="214"/>
      <c r="C486" s="214"/>
      <c r="D486" s="13" t="s">
        <v>11</v>
      </c>
      <c r="E486" s="13" t="s">
        <v>12</v>
      </c>
      <c r="F486" s="13" t="s">
        <v>13</v>
      </c>
      <c r="G486" s="13" t="s">
        <v>14</v>
      </c>
      <c r="H486" s="14" t="s">
        <v>15</v>
      </c>
      <c r="I486" s="14" t="s">
        <v>16</v>
      </c>
      <c r="J486" s="14" t="s">
        <v>17</v>
      </c>
      <c r="K486" s="14" t="s">
        <v>18</v>
      </c>
      <c r="L486" s="220"/>
      <c r="M486" s="15" t="s">
        <v>11</v>
      </c>
      <c r="N486" s="15" t="s">
        <v>12</v>
      </c>
      <c r="O486" s="15" t="s">
        <v>13</v>
      </c>
      <c r="P486" s="15" t="s">
        <v>14</v>
      </c>
    </row>
    <row r="487" spans="1:16" s="1" customFormat="1">
      <c r="A487" s="45">
        <v>17</v>
      </c>
      <c r="B487" s="17" t="s">
        <v>63</v>
      </c>
      <c r="C487" s="46">
        <f t="shared" ref="C487:G487" si="190">C488+C489+C490+C491+C492+C493+C494+C495+C500+C501+C502+C503+C504+C505+C506+C507</f>
        <v>3840856.75</v>
      </c>
      <c r="D487" s="46">
        <f t="shared" si="190"/>
        <v>1208267.67</v>
      </c>
      <c r="E487" s="46">
        <f t="shared" si="190"/>
        <v>326615.78999999998</v>
      </c>
      <c r="F487" s="46">
        <f t="shared" si="190"/>
        <v>698230.31</v>
      </c>
      <c r="G487" s="46">
        <f t="shared" si="190"/>
        <v>2816010.65</v>
      </c>
      <c r="H487" s="57"/>
      <c r="I487" s="58"/>
      <c r="J487" s="58"/>
      <c r="K487" s="11"/>
      <c r="L487" s="46">
        <f t="shared" ref="L487:P487" si="191">L488+L489+L490+L491+L492+L493+L494+L495+L500+L501+L502+L503+L504+L505+L506+L507</f>
        <v>0</v>
      </c>
      <c r="M487" s="46">
        <f t="shared" si="191"/>
        <v>1208267.67</v>
      </c>
      <c r="N487" s="46">
        <f t="shared" si="191"/>
        <v>0</v>
      </c>
      <c r="O487" s="46">
        <f t="shared" si="191"/>
        <v>0</v>
      </c>
      <c r="P487" s="46">
        <f t="shared" si="191"/>
        <v>0</v>
      </c>
    </row>
    <row r="488" spans="1:16" s="1" customFormat="1">
      <c r="A488" s="22"/>
      <c r="B488" s="59" t="s">
        <v>20</v>
      </c>
      <c r="C488" s="24">
        <f t="shared" ref="C488:C494" si="192">E488+F488+G488</f>
        <v>3229890.9699999997</v>
      </c>
      <c r="D488" s="25"/>
      <c r="E488" s="25"/>
      <c r="F488" s="24">
        <f>409028.55+4851.77</f>
        <v>413880.32000000001</v>
      </c>
      <c r="G488" s="25">
        <v>2816010.65</v>
      </c>
      <c r="H488" s="60"/>
      <c r="I488" s="61"/>
      <c r="J488" s="61"/>
      <c r="K488" s="27"/>
      <c r="L488" s="24">
        <f t="shared" ref="L488:L494" si="193">N488+O488+P488</f>
        <v>0</v>
      </c>
      <c r="M488" s="25"/>
      <c r="N488" s="25"/>
      <c r="O488" s="24"/>
      <c r="P488" s="25"/>
    </row>
    <row r="489" spans="1:16" s="1" customFormat="1">
      <c r="A489" s="28"/>
      <c r="B489" s="29" t="s">
        <v>21</v>
      </c>
      <c r="C489" s="24">
        <f t="shared" si="192"/>
        <v>104819.8</v>
      </c>
      <c r="D489" s="30"/>
      <c r="E489" s="30">
        <f>28604+76215.8</f>
        <v>104819.8</v>
      </c>
      <c r="F489" s="30"/>
      <c r="G489" s="30"/>
      <c r="H489" s="31"/>
      <c r="I489" s="31"/>
      <c r="J489" s="31"/>
      <c r="K489" s="31"/>
      <c r="L489" s="24">
        <f t="shared" si="193"/>
        <v>0</v>
      </c>
      <c r="M489" s="30"/>
      <c r="N489" s="30"/>
      <c r="O489" s="30"/>
      <c r="P489" s="30"/>
    </row>
    <row r="490" spans="1:16" s="1" customFormat="1">
      <c r="A490" s="28"/>
      <c r="B490" s="32" t="s">
        <v>22</v>
      </c>
      <c r="C490" s="24">
        <f t="shared" si="192"/>
        <v>0</v>
      </c>
      <c r="D490" s="30"/>
      <c r="E490" s="30"/>
      <c r="F490" s="30"/>
      <c r="G490" s="30"/>
      <c r="H490" s="31"/>
      <c r="I490" s="31"/>
      <c r="J490" s="31"/>
      <c r="K490" s="31"/>
      <c r="L490" s="24">
        <f t="shared" si="193"/>
        <v>0</v>
      </c>
      <c r="M490" s="30"/>
      <c r="N490" s="30"/>
      <c r="O490" s="30"/>
      <c r="P490" s="30"/>
    </row>
    <row r="491" spans="1:16" s="1" customFormat="1">
      <c r="A491" s="28"/>
      <c r="B491" s="32" t="s">
        <v>23</v>
      </c>
      <c r="C491" s="24">
        <f t="shared" si="192"/>
        <v>0</v>
      </c>
      <c r="D491" s="30">
        <v>10.16</v>
      </c>
      <c r="E491" s="30"/>
      <c r="F491" s="30"/>
      <c r="G491" s="30"/>
      <c r="H491" s="31"/>
      <c r="I491" s="31"/>
      <c r="J491" s="31"/>
      <c r="K491" s="31"/>
      <c r="L491" s="24">
        <f t="shared" si="193"/>
        <v>0</v>
      </c>
      <c r="M491" s="30">
        <v>10.16</v>
      </c>
      <c r="N491" s="30"/>
      <c r="O491" s="30"/>
      <c r="P491" s="30"/>
    </row>
    <row r="492" spans="1:16" s="1" customFormat="1">
      <c r="A492" s="28"/>
      <c r="B492" s="29" t="s">
        <v>24</v>
      </c>
      <c r="C492" s="24">
        <f t="shared" si="192"/>
        <v>115823.23999999999</v>
      </c>
      <c r="D492" s="30">
        <f>237210.58+1650.85+221321.19</f>
        <v>460182.62</v>
      </c>
      <c r="E492" s="30">
        <f>52534.51+52675.3</f>
        <v>105209.81</v>
      </c>
      <c r="F492" s="30">
        <f>10613.43</f>
        <v>10613.43</v>
      </c>
      <c r="G492" s="30"/>
      <c r="H492" s="31"/>
      <c r="I492" s="31"/>
      <c r="J492" s="31"/>
      <c r="K492" s="31"/>
      <c r="L492" s="24">
        <f t="shared" si="193"/>
        <v>0</v>
      </c>
      <c r="M492" s="30">
        <f>237210.58+1650.85+221321.19</f>
        <v>460182.62</v>
      </c>
      <c r="N492" s="30"/>
      <c r="O492" s="30"/>
      <c r="P492" s="30"/>
    </row>
    <row r="493" spans="1:16" s="1" customFormat="1">
      <c r="A493" s="28"/>
      <c r="B493" s="34" t="s">
        <v>25</v>
      </c>
      <c r="C493" s="24">
        <f t="shared" si="192"/>
        <v>0</v>
      </c>
      <c r="D493" s="30">
        <v>29403.83</v>
      </c>
      <c r="E493" s="30"/>
      <c r="F493" s="30"/>
      <c r="G493" s="30"/>
      <c r="H493" s="31"/>
      <c r="I493" s="31"/>
      <c r="J493" s="31"/>
      <c r="K493" s="31"/>
      <c r="L493" s="24">
        <f t="shared" si="193"/>
        <v>0</v>
      </c>
      <c r="M493" s="30">
        <v>29403.83</v>
      </c>
      <c r="N493" s="30"/>
      <c r="O493" s="30"/>
      <c r="P493" s="30"/>
    </row>
    <row r="494" spans="1:16" s="1" customFormat="1">
      <c r="A494" s="28"/>
      <c r="B494" s="32" t="s">
        <v>26</v>
      </c>
      <c r="C494" s="24">
        <f t="shared" si="192"/>
        <v>0</v>
      </c>
      <c r="D494" s="30"/>
      <c r="E494" s="30"/>
      <c r="F494" s="30"/>
      <c r="G494" s="30"/>
      <c r="H494" s="31"/>
      <c r="I494" s="31"/>
      <c r="J494" s="31"/>
      <c r="K494" s="31"/>
      <c r="L494" s="24">
        <f t="shared" si="193"/>
        <v>0</v>
      </c>
      <c r="M494" s="30"/>
      <c r="N494" s="30"/>
      <c r="O494" s="30"/>
      <c r="P494" s="30"/>
    </row>
    <row r="495" spans="1:16" s="1" customFormat="1" ht="30">
      <c r="A495" s="28"/>
      <c r="B495" s="35" t="s">
        <v>27</v>
      </c>
      <c r="C495" s="36">
        <f t="shared" ref="C495:G495" si="194">SUM(C496:C499)</f>
        <v>14998.199999999999</v>
      </c>
      <c r="D495" s="36">
        <f t="shared" si="194"/>
        <v>66849.76999999999</v>
      </c>
      <c r="E495" s="36">
        <f t="shared" si="194"/>
        <v>14998.199999999999</v>
      </c>
      <c r="F495" s="36">
        <f t="shared" si="194"/>
        <v>0</v>
      </c>
      <c r="G495" s="36">
        <f t="shared" si="194"/>
        <v>0</v>
      </c>
      <c r="H495" s="31"/>
      <c r="I495" s="31"/>
      <c r="J495" s="31"/>
      <c r="K495" s="31"/>
      <c r="L495" s="36">
        <f t="shared" ref="L495:P495" si="195">SUM(L496:L499)</f>
        <v>0</v>
      </c>
      <c r="M495" s="36">
        <f t="shared" si="195"/>
        <v>66849.76999999999</v>
      </c>
      <c r="N495" s="36">
        <f t="shared" si="195"/>
        <v>0</v>
      </c>
      <c r="O495" s="36">
        <f t="shared" si="195"/>
        <v>0</v>
      </c>
      <c r="P495" s="36">
        <f t="shared" si="195"/>
        <v>0</v>
      </c>
    </row>
    <row r="496" spans="1:16" s="1" customFormat="1">
      <c r="A496" s="28"/>
      <c r="B496" s="38" t="s">
        <v>28</v>
      </c>
      <c r="C496" s="24">
        <f t="shared" ref="C496:C506" si="196">E496+F496+G496</f>
        <v>4358.7299999999996</v>
      </c>
      <c r="D496" s="30"/>
      <c r="E496" s="30">
        <v>4358.7299999999996</v>
      </c>
      <c r="F496" s="30"/>
      <c r="G496" s="30"/>
      <c r="H496" s="31"/>
      <c r="I496" s="31"/>
      <c r="J496" s="31"/>
      <c r="K496" s="31"/>
      <c r="L496" s="24">
        <f t="shared" ref="L496:L506" si="197">N496+O496+P496</f>
        <v>0</v>
      </c>
      <c r="M496" s="30"/>
      <c r="N496" s="30"/>
      <c r="O496" s="30"/>
      <c r="P496" s="30"/>
    </row>
    <row r="497" spans="1:16" s="1" customFormat="1">
      <c r="A497" s="28"/>
      <c r="B497" s="38" t="s">
        <v>29</v>
      </c>
      <c r="C497" s="24">
        <f t="shared" si="196"/>
        <v>10639.47</v>
      </c>
      <c r="D497" s="30"/>
      <c r="E497" s="30">
        <v>10639.47</v>
      </c>
      <c r="F497" s="30"/>
      <c r="G497" s="30"/>
      <c r="H497" s="31"/>
      <c r="I497" s="31"/>
      <c r="J497" s="31"/>
      <c r="K497" s="31"/>
      <c r="L497" s="24">
        <f t="shared" si="197"/>
        <v>0</v>
      </c>
      <c r="M497" s="30"/>
      <c r="N497" s="30"/>
      <c r="O497" s="30"/>
      <c r="P497" s="30"/>
    </row>
    <row r="498" spans="1:16" s="1" customFormat="1">
      <c r="A498" s="28"/>
      <c r="B498" s="38" t="s">
        <v>30</v>
      </c>
      <c r="C498" s="24">
        <f t="shared" si="196"/>
        <v>0</v>
      </c>
      <c r="D498" s="30">
        <f>39687.89+9940.96</f>
        <v>49628.85</v>
      </c>
      <c r="E498" s="30"/>
      <c r="F498" s="30"/>
      <c r="G498" s="30"/>
      <c r="H498" s="31"/>
      <c r="I498" s="31"/>
      <c r="J498" s="31"/>
      <c r="K498" s="31"/>
      <c r="L498" s="24">
        <f t="shared" si="197"/>
        <v>0</v>
      </c>
      <c r="M498" s="30">
        <f>39687.89+9940.96</f>
        <v>49628.85</v>
      </c>
      <c r="N498" s="30"/>
      <c r="O498" s="30"/>
      <c r="P498" s="30"/>
    </row>
    <row r="499" spans="1:16" s="1" customFormat="1">
      <c r="A499" s="28"/>
      <c r="B499" s="38" t="s">
        <v>31</v>
      </c>
      <c r="C499" s="24">
        <f t="shared" si="196"/>
        <v>0</v>
      </c>
      <c r="D499" s="30">
        <v>17220.919999999998</v>
      </c>
      <c r="E499" s="30"/>
      <c r="F499" s="30"/>
      <c r="G499" s="30"/>
      <c r="H499" s="31"/>
      <c r="I499" s="31"/>
      <c r="J499" s="31"/>
      <c r="K499" s="31"/>
      <c r="L499" s="24">
        <f t="shared" si="197"/>
        <v>0</v>
      </c>
      <c r="M499" s="30">
        <v>17220.919999999998</v>
      </c>
      <c r="N499" s="30"/>
      <c r="O499" s="30"/>
      <c r="P499" s="30"/>
    </row>
    <row r="500" spans="1:16" s="1" customFormat="1" ht="30">
      <c r="A500" s="28"/>
      <c r="B500" s="39" t="s">
        <v>32</v>
      </c>
      <c r="C500" s="24">
        <f t="shared" si="196"/>
        <v>0</v>
      </c>
      <c r="D500" s="30"/>
      <c r="E500" s="30"/>
      <c r="F500" s="30"/>
      <c r="G500" s="30"/>
      <c r="H500" s="31"/>
      <c r="I500" s="31"/>
      <c r="J500" s="31"/>
      <c r="K500" s="31"/>
      <c r="L500" s="24">
        <f t="shared" si="197"/>
        <v>0</v>
      </c>
      <c r="M500" s="30"/>
      <c r="N500" s="30"/>
      <c r="O500" s="30"/>
      <c r="P500" s="30"/>
    </row>
    <row r="501" spans="1:16" s="1" customFormat="1" ht="30">
      <c r="A501" s="28"/>
      <c r="B501" s="39" t="s">
        <v>33</v>
      </c>
      <c r="C501" s="24">
        <f t="shared" si="196"/>
        <v>1783.68</v>
      </c>
      <c r="D501" s="30">
        <f>21000+2345.96</f>
        <v>23345.96</v>
      </c>
      <c r="E501" s="30">
        <v>1783.68</v>
      </c>
      <c r="F501" s="30"/>
      <c r="G501" s="30"/>
      <c r="H501" s="31"/>
      <c r="I501" s="31"/>
      <c r="J501" s="31"/>
      <c r="K501" s="31"/>
      <c r="L501" s="24">
        <f t="shared" si="197"/>
        <v>0</v>
      </c>
      <c r="M501" s="30">
        <f>21000+2345.96</f>
        <v>23345.96</v>
      </c>
      <c r="N501" s="30"/>
      <c r="O501" s="30"/>
      <c r="P501" s="30"/>
    </row>
    <row r="502" spans="1:16" s="1" customFormat="1" ht="30">
      <c r="A502" s="28"/>
      <c r="B502" s="40" t="s">
        <v>34</v>
      </c>
      <c r="C502" s="24">
        <f t="shared" si="196"/>
        <v>0</v>
      </c>
      <c r="D502" s="30"/>
      <c r="E502" s="30"/>
      <c r="F502" s="30"/>
      <c r="G502" s="30"/>
      <c r="H502" s="31"/>
      <c r="I502" s="31"/>
      <c r="J502" s="31"/>
      <c r="K502" s="31"/>
      <c r="L502" s="24">
        <f t="shared" si="197"/>
        <v>0</v>
      </c>
      <c r="M502" s="30"/>
      <c r="N502" s="30"/>
      <c r="O502" s="30"/>
      <c r="P502" s="30"/>
    </row>
    <row r="503" spans="1:16" s="1" customFormat="1">
      <c r="A503" s="28"/>
      <c r="B503" s="40" t="s">
        <v>35</v>
      </c>
      <c r="C503" s="24">
        <f t="shared" si="196"/>
        <v>11509.39</v>
      </c>
      <c r="D503" s="30">
        <f>30000+396+10432+88.61</f>
        <v>40916.61</v>
      </c>
      <c r="E503" s="30">
        <f>1750+4796.35+4963.04</f>
        <v>11509.39</v>
      </c>
      <c r="F503" s="30"/>
      <c r="G503" s="30"/>
      <c r="H503" s="31"/>
      <c r="I503" s="31"/>
      <c r="J503" s="31"/>
      <c r="K503" s="31"/>
      <c r="L503" s="24">
        <f t="shared" si="197"/>
        <v>0</v>
      </c>
      <c r="M503" s="30">
        <f>30000+396+10432+88.61</f>
        <v>40916.61</v>
      </c>
      <c r="N503" s="30"/>
      <c r="O503" s="30"/>
      <c r="P503" s="30"/>
    </row>
    <row r="504" spans="1:16" s="1" customFormat="1" ht="30">
      <c r="A504" s="28"/>
      <c r="B504" s="41" t="s">
        <v>36</v>
      </c>
      <c r="C504" s="24">
        <f t="shared" si="196"/>
        <v>0</v>
      </c>
      <c r="D504" s="30"/>
      <c r="E504" s="30"/>
      <c r="F504" s="30"/>
      <c r="G504" s="30"/>
      <c r="H504" s="31"/>
      <c r="I504" s="31"/>
      <c r="J504" s="31"/>
      <c r="K504" s="31"/>
      <c r="L504" s="24">
        <f t="shared" si="197"/>
        <v>0</v>
      </c>
      <c r="M504" s="30"/>
      <c r="N504" s="30"/>
      <c r="O504" s="30"/>
      <c r="P504" s="30"/>
    </row>
    <row r="505" spans="1:16" s="1" customFormat="1">
      <c r="A505" s="28"/>
      <c r="B505" s="42" t="s">
        <v>37</v>
      </c>
      <c r="C505" s="24">
        <f t="shared" si="196"/>
        <v>0</v>
      </c>
      <c r="D505" s="30">
        <f>512947.19+4876.59</f>
        <v>517823.78</v>
      </c>
      <c r="E505" s="30"/>
      <c r="F505" s="30"/>
      <c r="G505" s="30"/>
      <c r="H505" s="31"/>
      <c r="I505" s="31"/>
      <c r="J505" s="31"/>
      <c r="K505" s="31"/>
      <c r="L505" s="24">
        <f t="shared" si="197"/>
        <v>0</v>
      </c>
      <c r="M505" s="30">
        <f>512947.19+4876.59</f>
        <v>517823.78</v>
      </c>
      <c r="N505" s="30"/>
      <c r="O505" s="30"/>
      <c r="P505" s="30"/>
    </row>
    <row r="506" spans="1:16" s="1" customFormat="1" ht="30">
      <c r="A506" s="28"/>
      <c r="B506" s="42" t="s">
        <v>38</v>
      </c>
      <c r="C506" s="24">
        <f t="shared" si="196"/>
        <v>710</v>
      </c>
      <c r="D506" s="30">
        <f>4040+188.82</f>
        <v>4228.82</v>
      </c>
      <c r="E506" s="30"/>
      <c r="F506" s="30">
        <v>710</v>
      </c>
      <c r="G506" s="30"/>
      <c r="H506" s="31"/>
      <c r="I506" s="31"/>
      <c r="J506" s="31"/>
      <c r="K506" s="31"/>
      <c r="L506" s="24">
        <f t="shared" si="197"/>
        <v>0</v>
      </c>
      <c r="M506" s="30">
        <f>4040+188.82</f>
        <v>4228.82</v>
      </c>
      <c r="N506" s="30"/>
      <c r="O506" s="30"/>
      <c r="P506" s="30"/>
    </row>
    <row r="507" spans="1:16" s="1" customFormat="1" ht="30">
      <c r="A507" s="28"/>
      <c r="B507" s="43" t="s">
        <v>39</v>
      </c>
      <c r="C507" s="36">
        <f t="shared" ref="C507:G507" si="198">SUM(C508:C514)</f>
        <v>361321.47</v>
      </c>
      <c r="D507" s="36">
        <f t="shared" si="198"/>
        <v>65506.119999999995</v>
      </c>
      <c r="E507" s="36">
        <f t="shared" si="198"/>
        <v>88294.909999999989</v>
      </c>
      <c r="F507" s="36">
        <f t="shared" si="198"/>
        <v>273026.56</v>
      </c>
      <c r="G507" s="36">
        <f t="shared" si="198"/>
        <v>0</v>
      </c>
      <c r="H507" s="31"/>
      <c r="I507" s="31"/>
      <c r="J507" s="31"/>
      <c r="K507" s="31"/>
      <c r="L507" s="36">
        <f t="shared" ref="L507:P507" si="199">SUM(L508:L514)</f>
        <v>0</v>
      </c>
      <c r="M507" s="36">
        <f t="shared" si="199"/>
        <v>65506.119999999995</v>
      </c>
      <c r="N507" s="36">
        <f t="shared" si="199"/>
        <v>0</v>
      </c>
      <c r="O507" s="36">
        <f t="shared" si="199"/>
        <v>0</v>
      </c>
      <c r="P507" s="36">
        <f t="shared" si="199"/>
        <v>0</v>
      </c>
    </row>
    <row r="508" spans="1:16" s="1" customFormat="1" ht="30">
      <c r="A508" s="28" t="s">
        <v>40</v>
      </c>
      <c r="B508" s="39" t="s">
        <v>41</v>
      </c>
      <c r="C508" s="24">
        <f t="shared" ref="C508:C514" si="200">E508+F508+G508</f>
        <v>0</v>
      </c>
      <c r="D508" s="30"/>
      <c r="E508" s="30"/>
      <c r="F508" s="30"/>
      <c r="G508" s="30"/>
      <c r="H508" s="31"/>
      <c r="I508" s="31"/>
      <c r="J508" s="31"/>
      <c r="K508" s="31"/>
      <c r="L508" s="24">
        <f t="shared" ref="L508:L514" si="201">N508+O508+P508</f>
        <v>0</v>
      </c>
      <c r="M508" s="30"/>
      <c r="N508" s="30"/>
      <c r="O508" s="30"/>
      <c r="P508" s="30"/>
    </row>
    <row r="509" spans="1:16" s="1" customFormat="1">
      <c r="A509" s="28"/>
      <c r="B509" s="39" t="s">
        <v>42</v>
      </c>
      <c r="C509" s="24">
        <f t="shared" si="200"/>
        <v>0</v>
      </c>
      <c r="D509" s="30"/>
      <c r="E509" s="30"/>
      <c r="F509" s="30"/>
      <c r="G509" s="30"/>
      <c r="H509" s="31"/>
      <c r="I509" s="31"/>
      <c r="J509" s="31"/>
      <c r="K509" s="31"/>
      <c r="L509" s="24">
        <f t="shared" si="201"/>
        <v>0</v>
      </c>
      <c r="M509" s="30"/>
      <c r="N509" s="30"/>
      <c r="O509" s="30"/>
      <c r="P509" s="30"/>
    </row>
    <row r="510" spans="1:16" s="1" customFormat="1">
      <c r="A510" s="28"/>
      <c r="B510" s="39" t="s">
        <v>43</v>
      </c>
      <c r="C510" s="24">
        <f t="shared" si="200"/>
        <v>0</v>
      </c>
      <c r="D510" s="30"/>
      <c r="E510" s="30"/>
      <c r="F510" s="30"/>
      <c r="G510" s="30"/>
      <c r="H510" s="31"/>
      <c r="I510" s="31"/>
      <c r="J510" s="31"/>
      <c r="K510" s="31"/>
      <c r="L510" s="24">
        <f t="shared" si="201"/>
        <v>0</v>
      </c>
      <c r="M510" s="30"/>
      <c r="N510" s="30"/>
      <c r="O510" s="30"/>
      <c r="P510" s="30"/>
    </row>
    <row r="511" spans="1:16" s="1" customFormat="1">
      <c r="A511" s="28"/>
      <c r="B511" s="39" t="s">
        <v>44</v>
      </c>
      <c r="C511" s="24">
        <f t="shared" si="200"/>
        <v>354110.45999999996</v>
      </c>
      <c r="D511" s="30">
        <f>18144.73+39271.5</f>
        <v>57416.229999999996</v>
      </c>
      <c r="E511" s="30">
        <f>60846.42+5+19926+24.48+7493</f>
        <v>88294.9</v>
      </c>
      <c r="F511" s="30">
        <f>47907+13809.6+22240+95379.52+61257+24942.75+279.69</f>
        <v>265815.56</v>
      </c>
      <c r="G511" s="30"/>
      <c r="H511" s="31"/>
      <c r="I511" s="31"/>
      <c r="J511" s="31"/>
      <c r="K511" s="31"/>
      <c r="L511" s="24">
        <f t="shared" si="201"/>
        <v>0</v>
      </c>
      <c r="M511" s="30">
        <f>18144.73+39271.5</f>
        <v>57416.229999999996</v>
      </c>
      <c r="N511" s="30"/>
      <c r="O511" s="30"/>
      <c r="P511" s="30"/>
    </row>
    <row r="512" spans="1:16" s="1" customFormat="1">
      <c r="A512" s="28"/>
      <c r="B512" s="39" t="s">
        <v>45</v>
      </c>
      <c r="C512" s="24">
        <f t="shared" si="200"/>
        <v>0</v>
      </c>
      <c r="D512" s="30"/>
      <c r="E512" s="30"/>
      <c r="F512" s="30"/>
      <c r="G512" s="30"/>
      <c r="H512" s="31"/>
      <c r="I512" s="31"/>
      <c r="J512" s="31"/>
      <c r="K512" s="31"/>
      <c r="L512" s="24">
        <f t="shared" si="201"/>
        <v>0</v>
      </c>
      <c r="M512" s="30"/>
      <c r="N512" s="30"/>
      <c r="O512" s="30"/>
      <c r="P512" s="30"/>
    </row>
    <row r="513" spans="1:16" s="1" customFormat="1" ht="30">
      <c r="A513" s="28"/>
      <c r="B513" s="39" t="s">
        <v>46</v>
      </c>
      <c r="C513" s="24">
        <f t="shared" si="200"/>
        <v>0</v>
      </c>
      <c r="D513" s="30"/>
      <c r="E513" s="30"/>
      <c r="F513" s="30"/>
      <c r="G513" s="30"/>
      <c r="H513" s="31"/>
      <c r="I513" s="31"/>
      <c r="J513" s="31"/>
      <c r="K513" s="31"/>
      <c r="L513" s="24">
        <f t="shared" si="201"/>
        <v>0</v>
      </c>
      <c r="M513" s="30"/>
      <c r="N513" s="30"/>
      <c r="O513" s="30"/>
      <c r="P513" s="30"/>
    </row>
    <row r="514" spans="1:16" s="1" customFormat="1">
      <c r="A514" s="28"/>
      <c r="B514" s="39" t="s">
        <v>47</v>
      </c>
      <c r="C514" s="24">
        <f t="shared" si="200"/>
        <v>7211.01</v>
      </c>
      <c r="D514" s="30">
        <f>7.16+2228.43+1194.3+4660</f>
        <v>8089.8899999999994</v>
      </c>
      <c r="E514" s="30">
        <v>0.01</v>
      </c>
      <c r="F514" s="30">
        <f>5+7206</f>
        <v>7211</v>
      </c>
      <c r="G514" s="30"/>
      <c r="H514" s="31"/>
      <c r="I514" s="31"/>
      <c r="J514" s="31"/>
      <c r="K514" s="31"/>
      <c r="L514" s="24">
        <f t="shared" si="201"/>
        <v>0</v>
      </c>
      <c r="M514" s="30">
        <f>7.16+2228.43+1194.3+4660</f>
        <v>8089.8899999999994</v>
      </c>
      <c r="N514" s="30"/>
      <c r="O514" s="30"/>
      <c r="P514" s="30"/>
    </row>
    <row r="515" spans="1:16" s="1" customFormat="1" ht="36.75" customHeight="1">
      <c r="A515" s="211" t="s">
        <v>3</v>
      </c>
      <c r="B515" s="213" t="s">
        <v>4</v>
      </c>
      <c r="C515" s="213" t="s">
        <v>5</v>
      </c>
      <c r="D515" s="10" t="s">
        <v>6</v>
      </c>
      <c r="E515" s="215" t="s">
        <v>7</v>
      </c>
      <c r="F515" s="216"/>
      <c r="G515" s="217"/>
      <c r="H515" s="218" t="s">
        <v>8</v>
      </c>
      <c r="I515" s="218"/>
      <c r="J515" s="218"/>
      <c r="K515" s="11"/>
      <c r="L515" s="219" t="s">
        <v>9</v>
      </c>
      <c r="M515" s="12" t="s">
        <v>6</v>
      </c>
      <c r="N515" s="208" t="s">
        <v>10</v>
      </c>
      <c r="O515" s="209"/>
      <c r="P515" s="210"/>
    </row>
    <row r="516" spans="1:16" s="1" customFormat="1" ht="47.25" customHeight="1">
      <c r="A516" s="212"/>
      <c r="B516" s="214"/>
      <c r="C516" s="214"/>
      <c r="D516" s="13" t="s">
        <v>11</v>
      </c>
      <c r="E516" s="13" t="s">
        <v>12</v>
      </c>
      <c r="F516" s="13" t="s">
        <v>13</v>
      </c>
      <c r="G516" s="13" t="s">
        <v>14</v>
      </c>
      <c r="H516" s="14" t="s">
        <v>15</v>
      </c>
      <c r="I516" s="14" t="s">
        <v>16</v>
      </c>
      <c r="J516" s="14" t="s">
        <v>17</v>
      </c>
      <c r="K516" s="14" t="s">
        <v>18</v>
      </c>
      <c r="L516" s="220"/>
      <c r="M516" s="15" t="s">
        <v>11</v>
      </c>
      <c r="N516" s="15" t="s">
        <v>12</v>
      </c>
      <c r="O516" s="15" t="s">
        <v>13</v>
      </c>
      <c r="P516" s="15" t="s">
        <v>14</v>
      </c>
    </row>
    <row r="517" spans="1:16" s="1" customFormat="1">
      <c r="A517" s="45">
        <v>18</v>
      </c>
      <c r="B517" s="17" t="s">
        <v>64</v>
      </c>
      <c r="C517" s="46">
        <f t="shared" ref="C517:G517" si="202">C518+C519+C520+C521+C522+C523+C524+C525+C530+C531+C532+C533+C534+C535+C536+C537</f>
        <v>1726940.3900000001</v>
      </c>
      <c r="D517" s="46">
        <f t="shared" si="202"/>
        <v>1059180.57</v>
      </c>
      <c r="E517" s="46">
        <f t="shared" si="202"/>
        <v>594250.14999999991</v>
      </c>
      <c r="F517" s="46">
        <f t="shared" si="202"/>
        <v>591006.29</v>
      </c>
      <c r="G517" s="46">
        <f t="shared" si="202"/>
        <v>541683.94999999995</v>
      </c>
      <c r="H517" s="57"/>
      <c r="I517" s="58"/>
      <c r="J517" s="58"/>
      <c r="K517" s="11"/>
      <c r="L517" s="46">
        <f t="shared" ref="L517:P517" si="203">L518+L519+L520+L521+L522+L523+L524+L525+L530+L531+L532+L533+L534+L535+L536+L537</f>
        <v>0</v>
      </c>
      <c r="M517" s="46">
        <f t="shared" si="203"/>
        <v>1059180.57</v>
      </c>
      <c r="N517" s="46">
        <f t="shared" si="203"/>
        <v>0</v>
      </c>
      <c r="O517" s="46">
        <f t="shared" si="203"/>
        <v>0</v>
      </c>
      <c r="P517" s="46">
        <f t="shared" si="203"/>
        <v>0</v>
      </c>
    </row>
    <row r="518" spans="1:16" s="5" customFormat="1">
      <c r="A518" s="22"/>
      <c r="B518" s="59" t="s">
        <v>20</v>
      </c>
      <c r="C518" s="24">
        <f t="shared" ref="C518:C524" si="204">E518+F518+G518</f>
        <v>880617.17999999993</v>
      </c>
      <c r="D518" s="25"/>
      <c r="E518" s="25"/>
      <c r="F518" s="25">
        <v>338933.23</v>
      </c>
      <c r="G518" s="25">
        <v>541683.94999999995</v>
      </c>
      <c r="H518" s="60"/>
      <c r="I518" s="61"/>
      <c r="J518" s="61"/>
      <c r="K518" s="27"/>
      <c r="L518" s="24">
        <f t="shared" ref="L518:L524" si="205">N518+O518+P518</f>
        <v>0</v>
      </c>
      <c r="M518" s="25"/>
      <c r="N518" s="25"/>
      <c r="O518" s="25"/>
      <c r="P518" s="25"/>
    </row>
    <row r="519" spans="1:16" s="1" customFormat="1">
      <c r="A519" s="28"/>
      <c r="B519" s="29" t="s">
        <v>21</v>
      </c>
      <c r="C519" s="24">
        <f t="shared" si="204"/>
        <v>0</v>
      </c>
      <c r="D519" s="30"/>
      <c r="E519" s="30"/>
      <c r="F519" s="30"/>
      <c r="G519" s="30"/>
      <c r="H519" s="31"/>
      <c r="I519" s="31"/>
      <c r="J519" s="31"/>
      <c r="K519" s="31"/>
      <c r="L519" s="24">
        <f t="shared" si="205"/>
        <v>0</v>
      </c>
      <c r="M519" s="30"/>
      <c r="N519" s="30"/>
      <c r="O519" s="30"/>
      <c r="P519" s="30"/>
    </row>
    <row r="520" spans="1:16" s="1" customFormat="1">
      <c r="A520" s="28"/>
      <c r="B520" s="32" t="s">
        <v>22</v>
      </c>
      <c r="C520" s="24">
        <f t="shared" si="204"/>
        <v>0</v>
      </c>
      <c r="D520" s="24">
        <v>184145.94</v>
      </c>
      <c r="E520" s="24"/>
      <c r="F520" s="30"/>
      <c r="G520" s="30"/>
      <c r="H520" s="31"/>
      <c r="I520" s="31"/>
      <c r="J520" s="31"/>
      <c r="K520" s="31"/>
      <c r="L520" s="24">
        <f t="shared" si="205"/>
        <v>0</v>
      </c>
      <c r="M520" s="24">
        <v>184145.94</v>
      </c>
      <c r="N520" s="24"/>
      <c r="O520" s="30"/>
      <c r="P520" s="30"/>
    </row>
    <row r="521" spans="1:16" s="1" customFormat="1">
      <c r="A521" s="28"/>
      <c r="B521" s="32" t="s">
        <v>23</v>
      </c>
      <c r="C521" s="24">
        <f t="shared" si="204"/>
        <v>0</v>
      </c>
      <c r="D521" s="24"/>
      <c r="E521" s="24"/>
      <c r="F521" s="30"/>
      <c r="G521" s="30"/>
      <c r="H521" s="31"/>
      <c r="I521" s="31"/>
      <c r="J521" s="31"/>
      <c r="K521" s="31"/>
      <c r="L521" s="24">
        <f t="shared" si="205"/>
        <v>0</v>
      </c>
      <c r="M521" s="24"/>
      <c r="N521" s="24"/>
      <c r="O521" s="30"/>
      <c r="P521" s="30"/>
    </row>
    <row r="522" spans="1:16" s="1" customFormat="1">
      <c r="A522" s="28"/>
      <c r="B522" s="29" t="s">
        <v>24</v>
      </c>
      <c r="C522" s="24">
        <f t="shared" si="204"/>
        <v>0</v>
      </c>
      <c r="D522" s="24">
        <v>608.57000000000005</v>
      </c>
      <c r="E522" s="24"/>
      <c r="F522" s="30"/>
      <c r="G522" s="30"/>
      <c r="H522" s="31"/>
      <c r="I522" s="31"/>
      <c r="J522" s="31"/>
      <c r="K522" s="31"/>
      <c r="L522" s="24">
        <f t="shared" si="205"/>
        <v>0</v>
      </c>
      <c r="M522" s="24">
        <v>608.57000000000005</v>
      </c>
      <c r="N522" s="24"/>
      <c r="O522" s="30"/>
      <c r="P522" s="30"/>
    </row>
    <row r="523" spans="1:16" s="1" customFormat="1">
      <c r="A523" s="28"/>
      <c r="B523" s="34" t="s">
        <v>25</v>
      </c>
      <c r="C523" s="24">
        <f t="shared" si="204"/>
        <v>0</v>
      </c>
      <c r="D523" s="24">
        <v>6427.65</v>
      </c>
      <c r="E523" s="24"/>
      <c r="F523" s="30"/>
      <c r="G523" s="30"/>
      <c r="H523" s="31"/>
      <c r="I523" s="31"/>
      <c r="J523" s="31"/>
      <c r="K523" s="31"/>
      <c r="L523" s="24">
        <f t="shared" si="205"/>
        <v>0</v>
      </c>
      <c r="M523" s="24">
        <v>6427.65</v>
      </c>
      <c r="N523" s="24"/>
      <c r="O523" s="30"/>
      <c r="P523" s="30"/>
    </row>
    <row r="524" spans="1:16" s="1" customFormat="1">
      <c r="A524" s="28"/>
      <c r="B524" s="32" t="s">
        <v>26</v>
      </c>
      <c r="C524" s="24">
        <f t="shared" si="204"/>
        <v>0</v>
      </c>
      <c r="D524" s="24"/>
      <c r="E524" s="24"/>
      <c r="F524" s="30"/>
      <c r="G524" s="30"/>
      <c r="H524" s="31"/>
      <c r="I524" s="31"/>
      <c r="J524" s="31"/>
      <c r="K524" s="31"/>
      <c r="L524" s="24">
        <f t="shared" si="205"/>
        <v>0</v>
      </c>
      <c r="M524" s="24"/>
      <c r="N524" s="24"/>
      <c r="O524" s="30"/>
      <c r="P524" s="30"/>
    </row>
    <row r="525" spans="1:16" s="1" customFormat="1" ht="30">
      <c r="A525" s="28"/>
      <c r="B525" s="35" t="s">
        <v>27</v>
      </c>
      <c r="C525" s="36">
        <f t="shared" ref="C525:G525" si="206">SUM(C526:C529)</f>
        <v>314215.75999999995</v>
      </c>
      <c r="D525" s="64">
        <f t="shared" si="206"/>
        <v>46724.47</v>
      </c>
      <c r="E525" s="64">
        <f t="shared" si="206"/>
        <v>314215.75999999995</v>
      </c>
      <c r="F525" s="36">
        <f t="shared" si="206"/>
        <v>0</v>
      </c>
      <c r="G525" s="36">
        <f t="shared" si="206"/>
        <v>0</v>
      </c>
      <c r="H525" s="31"/>
      <c r="I525" s="31"/>
      <c r="J525" s="31"/>
      <c r="K525" s="31"/>
      <c r="L525" s="36">
        <f t="shared" ref="L525:P525" si="207">SUM(L526:L529)</f>
        <v>0</v>
      </c>
      <c r="M525" s="64">
        <f t="shared" si="207"/>
        <v>46724.47</v>
      </c>
      <c r="N525" s="64">
        <f t="shared" si="207"/>
        <v>0</v>
      </c>
      <c r="O525" s="36">
        <f t="shared" si="207"/>
        <v>0</v>
      </c>
      <c r="P525" s="36">
        <f t="shared" si="207"/>
        <v>0</v>
      </c>
    </row>
    <row r="526" spans="1:16" s="1" customFormat="1">
      <c r="A526" s="28"/>
      <c r="B526" s="38" t="s">
        <v>28</v>
      </c>
      <c r="C526" s="24">
        <f t="shared" ref="C526:C536" si="208">E526+F526+G526</f>
        <v>141250.82999999999</v>
      </c>
      <c r="D526" s="65"/>
      <c r="E526" s="65">
        <v>141250.82999999999</v>
      </c>
      <c r="F526" s="30"/>
      <c r="G526" s="30"/>
      <c r="H526" s="31"/>
      <c r="I526" s="31"/>
      <c r="J526" s="31"/>
      <c r="K526" s="31"/>
      <c r="L526" s="24">
        <f t="shared" ref="L526:L536" si="209">N526+O526+P526</f>
        <v>0</v>
      </c>
      <c r="M526" s="65"/>
      <c r="N526" s="65"/>
      <c r="O526" s="30"/>
      <c r="P526" s="30"/>
    </row>
    <row r="527" spans="1:16" s="1" customFormat="1">
      <c r="A527" s="28"/>
      <c r="B527" s="38" t="s">
        <v>29</v>
      </c>
      <c r="C527" s="24">
        <f t="shared" si="208"/>
        <v>123013.75999999999</v>
      </c>
      <c r="D527" s="65"/>
      <c r="E527" s="65">
        <v>123013.75999999999</v>
      </c>
      <c r="F527" s="30"/>
      <c r="G527" s="30"/>
      <c r="H527" s="31"/>
      <c r="I527" s="31"/>
      <c r="J527" s="31"/>
      <c r="K527" s="31"/>
      <c r="L527" s="24">
        <f t="shared" si="209"/>
        <v>0</v>
      </c>
      <c r="M527" s="65"/>
      <c r="N527" s="65"/>
      <c r="O527" s="30"/>
      <c r="P527" s="30"/>
    </row>
    <row r="528" spans="1:16" s="1" customFormat="1">
      <c r="A528" s="28"/>
      <c r="B528" s="38" t="s">
        <v>30</v>
      </c>
      <c r="C528" s="24">
        <f t="shared" si="208"/>
        <v>49951.17</v>
      </c>
      <c r="D528" s="65">
        <v>46724.47</v>
      </c>
      <c r="E528" s="65">
        <v>49951.17</v>
      </c>
      <c r="F528" s="30"/>
      <c r="G528" s="30"/>
      <c r="H528" s="31"/>
      <c r="I528" s="31"/>
      <c r="J528" s="31"/>
      <c r="K528" s="31"/>
      <c r="L528" s="24">
        <f t="shared" si="209"/>
        <v>0</v>
      </c>
      <c r="M528" s="65">
        <v>46724.47</v>
      </c>
      <c r="N528" s="65"/>
      <c r="O528" s="30"/>
      <c r="P528" s="30"/>
    </row>
    <row r="529" spans="1:16" s="1" customFormat="1">
      <c r="A529" s="28"/>
      <c r="B529" s="38" t="s">
        <v>31</v>
      </c>
      <c r="C529" s="24">
        <f t="shared" si="208"/>
        <v>0</v>
      </c>
      <c r="D529" s="65"/>
      <c r="E529" s="65"/>
      <c r="F529" s="30"/>
      <c r="G529" s="30"/>
      <c r="H529" s="31"/>
      <c r="I529" s="31"/>
      <c r="J529" s="31"/>
      <c r="K529" s="31"/>
      <c r="L529" s="24">
        <f t="shared" si="209"/>
        <v>0</v>
      </c>
      <c r="M529" s="65"/>
      <c r="N529" s="65"/>
      <c r="O529" s="30"/>
      <c r="P529" s="30"/>
    </row>
    <row r="530" spans="1:16" s="1" customFormat="1" ht="30">
      <c r="A530" s="28"/>
      <c r="B530" s="39" t="s">
        <v>32</v>
      </c>
      <c r="C530" s="24">
        <f t="shared" si="208"/>
        <v>0</v>
      </c>
      <c r="D530" s="33"/>
      <c r="E530" s="33"/>
      <c r="F530" s="30"/>
      <c r="G530" s="30"/>
      <c r="H530" s="31"/>
      <c r="I530" s="31"/>
      <c r="J530" s="31"/>
      <c r="K530" s="31"/>
      <c r="L530" s="24">
        <f t="shared" si="209"/>
        <v>0</v>
      </c>
      <c r="M530" s="33"/>
      <c r="N530" s="33"/>
      <c r="O530" s="30"/>
      <c r="P530" s="30"/>
    </row>
    <row r="531" spans="1:16" s="1" customFormat="1" ht="30">
      <c r="A531" s="28"/>
      <c r="B531" s="39" t="s">
        <v>33</v>
      </c>
      <c r="C531" s="24">
        <f t="shared" si="208"/>
        <v>41333.050000000003</v>
      </c>
      <c r="D531" s="33">
        <f>23454.64+30345.5</f>
        <v>53800.14</v>
      </c>
      <c r="E531" s="33">
        <f>29100+12233.05</f>
        <v>41333.050000000003</v>
      </c>
      <c r="F531" s="30"/>
      <c r="G531" s="30"/>
      <c r="H531" s="31"/>
      <c r="I531" s="31"/>
      <c r="J531" s="31"/>
      <c r="K531" s="31"/>
      <c r="L531" s="24">
        <f t="shared" si="209"/>
        <v>0</v>
      </c>
      <c r="M531" s="33">
        <f>23454.64+30345.5</f>
        <v>53800.14</v>
      </c>
      <c r="N531" s="33"/>
      <c r="O531" s="30"/>
      <c r="P531" s="30"/>
    </row>
    <row r="532" spans="1:16" s="1" customFormat="1" ht="30">
      <c r="A532" s="28"/>
      <c r="B532" s="40" t="s">
        <v>34</v>
      </c>
      <c r="C532" s="24">
        <f t="shared" si="208"/>
        <v>0</v>
      </c>
      <c r="D532" s="33"/>
      <c r="E532" s="33"/>
      <c r="F532" s="30"/>
      <c r="G532" s="30"/>
      <c r="H532" s="31"/>
      <c r="I532" s="31"/>
      <c r="J532" s="31"/>
      <c r="K532" s="31"/>
      <c r="L532" s="24">
        <f t="shared" si="209"/>
        <v>0</v>
      </c>
      <c r="M532" s="33"/>
      <c r="N532" s="33"/>
      <c r="O532" s="30"/>
      <c r="P532" s="30"/>
    </row>
    <row r="533" spans="1:16" s="1" customFormat="1">
      <c r="A533" s="28"/>
      <c r="B533" s="40" t="s">
        <v>35</v>
      </c>
      <c r="C533" s="24">
        <f t="shared" si="208"/>
        <v>13457.330000000002</v>
      </c>
      <c r="D533" s="65">
        <f>12275.25+1590.72</f>
        <v>13865.97</v>
      </c>
      <c r="E533" s="65">
        <f>9336.27+4121.06</f>
        <v>13457.330000000002</v>
      </c>
      <c r="F533" s="30"/>
      <c r="G533" s="30"/>
      <c r="H533" s="31"/>
      <c r="I533" s="31"/>
      <c r="J533" s="31"/>
      <c r="K533" s="31"/>
      <c r="L533" s="24">
        <f t="shared" si="209"/>
        <v>0</v>
      </c>
      <c r="M533" s="65">
        <f>12275.25+1590.72</f>
        <v>13865.97</v>
      </c>
      <c r="N533" s="65"/>
      <c r="O533" s="30"/>
      <c r="P533" s="30"/>
    </row>
    <row r="534" spans="1:16" s="1" customFormat="1" ht="30">
      <c r="A534" s="28"/>
      <c r="B534" s="41" t="s">
        <v>36</v>
      </c>
      <c r="C534" s="24">
        <f t="shared" si="208"/>
        <v>0</v>
      </c>
      <c r="D534" s="65"/>
      <c r="E534" s="65"/>
      <c r="F534" s="30"/>
      <c r="G534" s="30"/>
      <c r="H534" s="31"/>
      <c r="I534" s="31"/>
      <c r="J534" s="31"/>
      <c r="K534" s="31"/>
      <c r="L534" s="24">
        <f t="shared" si="209"/>
        <v>0</v>
      </c>
      <c r="M534" s="65"/>
      <c r="N534" s="65"/>
      <c r="O534" s="30"/>
      <c r="P534" s="30"/>
    </row>
    <row r="535" spans="1:16" s="1" customFormat="1">
      <c r="A535" s="28"/>
      <c r="B535" s="42" t="s">
        <v>37</v>
      </c>
      <c r="C535" s="24">
        <f t="shared" si="208"/>
        <v>0</v>
      </c>
      <c r="D535" s="30"/>
      <c r="E535" s="30"/>
      <c r="F535" s="30"/>
      <c r="G535" s="30"/>
      <c r="H535" s="31"/>
      <c r="I535" s="31"/>
      <c r="J535" s="31"/>
      <c r="K535" s="31"/>
      <c r="L535" s="24">
        <f t="shared" si="209"/>
        <v>0</v>
      </c>
      <c r="M535" s="30"/>
      <c r="N535" s="30"/>
      <c r="O535" s="30"/>
      <c r="P535" s="30"/>
    </row>
    <row r="536" spans="1:16" s="1" customFormat="1" ht="30">
      <c r="A536" s="28"/>
      <c r="B536" s="42" t="s">
        <v>38</v>
      </c>
      <c r="C536" s="24">
        <f t="shared" si="208"/>
        <v>0</v>
      </c>
      <c r="D536" s="30">
        <f>293660+20700+167850+20790</f>
        <v>503000</v>
      </c>
      <c r="E536" s="30"/>
      <c r="F536" s="30"/>
      <c r="G536" s="30"/>
      <c r="H536" s="31"/>
      <c r="I536" s="31"/>
      <c r="J536" s="31"/>
      <c r="K536" s="31"/>
      <c r="L536" s="24">
        <f t="shared" si="209"/>
        <v>0</v>
      </c>
      <c r="M536" s="30">
        <f>293660+20700+167850+20790</f>
        <v>503000</v>
      </c>
      <c r="N536" s="30"/>
      <c r="O536" s="30"/>
      <c r="P536" s="30"/>
    </row>
    <row r="537" spans="1:16" s="1" customFormat="1" ht="30">
      <c r="A537" s="28"/>
      <c r="B537" s="43" t="s">
        <v>39</v>
      </c>
      <c r="C537" s="36">
        <f t="shared" ref="C537:G537" si="210">SUM(C538:C544)</f>
        <v>477317.07</v>
      </c>
      <c r="D537" s="36">
        <f t="shared" si="210"/>
        <v>250607.83</v>
      </c>
      <c r="E537" s="36">
        <f t="shared" si="210"/>
        <v>225244.01</v>
      </c>
      <c r="F537" s="36">
        <f t="shared" si="210"/>
        <v>252073.06</v>
      </c>
      <c r="G537" s="36">
        <f t="shared" si="210"/>
        <v>0</v>
      </c>
      <c r="H537" s="31"/>
      <c r="I537" s="31"/>
      <c r="J537" s="31"/>
      <c r="K537" s="31"/>
      <c r="L537" s="36">
        <f t="shared" ref="L537:P537" si="211">SUM(L538:L544)</f>
        <v>0</v>
      </c>
      <c r="M537" s="36">
        <f t="shared" si="211"/>
        <v>250607.83</v>
      </c>
      <c r="N537" s="36">
        <f t="shared" si="211"/>
        <v>0</v>
      </c>
      <c r="O537" s="36">
        <f t="shared" si="211"/>
        <v>0</v>
      </c>
      <c r="P537" s="36">
        <f t="shared" si="211"/>
        <v>0</v>
      </c>
    </row>
    <row r="538" spans="1:16" s="1" customFormat="1" ht="30">
      <c r="A538" s="28" t="s">
        <v>40</v>
      </c>
      <c r="B538" s="39" t="s">
        <v>41</v>
      </c>
      <c r="C538" s="24">
        <f t="shared" ref="C538:C544" si="212">E538+F538+G538</f>
        <v>0</v>
      </c>
      <c r="D538" s="30"/>
      <c r="E538" s="30"/>
      <c r="F538" s="30"/>
      <c r="G538" s="30"/>
      <c r="H538" s="31"/>
      <c r="I538" s="31"/>
      <c r="J538" s="31"/>
      <c r="K538" s="31"/>
      <c r="L538" s="24">
        <f t="shared" ref="L538:L544" si="213">N538+O538+P538</f>
        <v>0</v>
      </c>
      <c r="M538" s="30"/>
      <c r="N538" s="30"/>
      <c r="O538" s="30"/>
      <c r="P538" s="30"/>
    </row>
    <row r="539" spans="1:16" s="1" customFormat="1">
      <c r="A539" s="28"/>
      <c r="B539" s="39" t="s">
        <v>42</v>
      </c>
      <c r="C539" s="24">
        <f t="shared" si="212"/>
        <v>0</v>
      </c>
      <c r="D539" s="30"/>
      <c r="E539" s="30"/>
      <c r="F539" s="30"/>
      <c r="G539" s="30"/>
      <c r="H539" s="31"/>
      <c r="I539" s="31"/>
      <c r="J539" s="31"/>
      <c r="K539" s="31"/>
      <c r="L539" s="24">
        <f t="shared" si="213"/>
        <v>0</v>
      </c>
      <c r="M539" s="30"/>
      <c r="N539" s="30"/>
      <c r="O539" s="30"/>
      <c r="P539" s="30"/>
    </row>
    <row r="540" spans="1:16" s="1" customFormat="1">
      <c r="A540" s="28"/>
      <c r="B540" s="39" t="s">
        <v>43</v>
      </c>
      <c r="C540" s="24">
        <f t="shared" si="212"/>
        <v>0</v>
      </c>
      <c r="D540" s="30">
        <v>7.0000000000000007E-2</v>
      </c>
      <c r="E540" s="30"/>
      <c r="F540" s="30"/>
      <c r="G540" s="30"/>
      <c r="H540" s="31"/>
      <c r="I540" s="31"/>
      <c r="J540" s="31"/>
      <c r="K540" s="31"/>
      <c r="L540" s="24">
        <f t="shared" si="213"/>
        <v>0</v>
      </c>
      <c r="M540" s="30">
        <v>7.0000000000000007E-2</v>
      </c>
      <c r="N540" s="30"/>
      <c r="O540" s="30"/>
      <c r="P540" s="30"/>
    </row>
    <row r="541" spans="1:16" s="1" customFormat="1">
      <c r="A541" s="28"/>
      <c r="B541" s="39" t="s">
        <v>44</v>
      </c>
      <c r="C541" s="24">
        <f t="shared" si="212"/>
        <v>477317.07</v>
      </c>
      <c r="D541" s="30">
        <v>3053.08</v>
      </c>
      <c r="E541" s="30">
        <v>225244.01</v>
      </c>
      <c r="F541" s="30">
        <v>252073.06</v>
      </c>
      <c r="G541" s="30"/>
      <c r="H541" s="31"/>
      <c r="I541" s="31"/>
      <c r="J541" s="31"/>
      <c r="K541" s="31"/>
      <c r="L541" s="24">
        <f t="shared" si="213"/>
        <v>0</v>
      </c>
      <c r="M541" s="30">
        <v>3053.08</v>
      </c>
      <c r="N541" s="30"/>
      <c r="O541" s="30"/>
      <c r="P541" s="30"/>
    </row>
    <row r="542" spans="1:16" s="1" customFormat="1">
      <c r="A542" s="28"/>
      <c r="B542" s="39" t="s">
        <v>45</v>
      </c>
      <c r="C542" s="24">
        <f t="shared" si="212"/>
        <v>0</v>
      </c>
      <c r="D542" s="30"/>
      <c r="E542" s="30"/>
      <c r="F542" s="30"/>
      <c r="G542" s="30"/>
      <c r="H542" s="31"/>
      <c r="I542" s="31"/>
      <c r="J542" s="31"/>
      <c r="K542" s="31"/>
      <c r="L542" s="24">
        <f t="shared" si="213"/>
        <v>0</v>
      </c>
      <c r="M542" s="30"/>
      <c r="N542" s="30"/>
      <c r="O542" s="30"/>
      <c r="P542" s="30"/>
    </row>
    <row r="543" spans="1:16" s="1" customFormat="1" ht="30">
      <c r="A543" s="28"/>
      <c r="B543" s="39" t="s">
        <v>46</v>
      </c>
      <c r="C543" s="24">
        <f t="shared" si="212"/>
        <v>0</v>
      </c>
      <c r="D543" s="30"/>
      <c r="E543" s="30"/>
      <c r="F543" s="30"/>
      <c r="G543" s="30"/>
      <c r="H543" s="31"/>
      <c r="I543" s="31"/>
      <c r="J543" s="31"/>
      <c r="K543" s="31"/>
      <c r="L543" s="24">
        <f t="shared" si="213"/>
        <v>0</v>
      </c>
      <c r="M543" s="30"/>
      <c r="N543" s="30"/>
      <c r="O543" s="30"/>
      <c r="P543" s="30"/>
    </row>
    <row r="544" spans="1:16" s="1" customFormat="1">
      <c r="A544" s="28"/>
      <c r="B544" s="39" t="s">
        <v>47</v>
      </c>
      <c r="C544" s="24">
        <f t="shared" si="212"/>
        <v>0</v>
      </c>
      <c r="D544" s="30">
        <f>218528.52+24125+4901.16</f>
        <v>247554.68</v>
      </c>
      <c r="E544" s="30"/>
      <c r="F544" s="30"/>
      <c r="G544" s="30"/>
      <c r="H544" s="31"/>
      <c r="I544" s="31"/>
      <c r="J544" s="31"/>
      <c r="K544" s="31"/>
      <c r="L544" s="24">
        <f t="shared" si="213"/>
        <v>0</v>
      </c>
      <c r="M544" s="30">
        <f>218528.52+24125+4901.16</f>
        <v>247554.68</v>
      </c>
      <c r="N544" s="30"/>
      <c r="O544" s="30"/>
      <c r="P544" s="30"/>
    </row>
    <row r="545" spans="1:16" s="1" customFormat="1" ht="36.75" customHeight="1">
      <c r="A545" s="211" t="s">
        <v>3</v>
      </c>
      <c r="B545" s="213" t="s">
        <v>4</v>
      </c>
      <c r="C545" s="213" t="s">
        <v>5</v>
      </c>
      <c r="D545" s="10" t="s">
        <v>6</v>
      </c>
      <c r="E545" s="215" t="s">
        <v>7</v>
      </c>
      <c r="F545" s="216"/>
      <c r="G545" s="217"/>
      <c r="H545" s="218" t="s">
        <v>8</v>
      </c>
      <c r="I545" s="218"/>
      <c r="J545" s="218"/>
      <c r="K545" s="11"/>
      <c r="L545" s="219" t="s">
        <v>9</v>
      </c>
      <c r="M545" s="12" t="s">
        <v>6</v>
      </c>
      <c r="N545" s="208" t="s">
        <v>10</v>
      </c>
      <c r="O545" s="209"/>
      <c r="P545" s="210"/>
    </row>
    <row r="546" spans="1:16" s="1" customFormat="1" ht="47.25" customHeight="1">
      <c r="A546" s="212"/>
      <c r="B546" s="214"/>
      <c r="C546" s="214"/>
      <c r="D546" s="13" t="s">
        <v>11</v>
      </c>
      <c r="E546" s="13" t="s">
        <v>12</v>
      </c>
      <c r="F546" s="13" t="s">
        <v>13</v>
      </c>
      <c r="G546" s="13" t="s">
        <v>14</v>
      </c>
      <c r="H546" s="14" t="s">
        <v>15</v>
      </c>
      <c r="I546" s="14" t="s">
        <v>16</v>
      </c>
      <c r="J546" s="14" t="s">
        <v>17</v>
      </c>
      <c r="K546" s="14" t="s">
        <v>18</v>
      </c>
      <c r="L546" s="220"/>
      <c r="M546" s="15" t="s">
        <v>11</v>
      </c>
      <c r="N546" s="15" t="s">
        <v>12</v>
      </c>
      <c r="O546" s="15" t="s">
        <v>13</v>
      </c>
      <c r="P546" s="15" t="s">
        <v>14</v>
      </c>
    </row>
    <row r="547" spans="1:16" s="1" customFormat="1">
      <c r="A547" s="45">
        <v>19</v>
      </c>
      <c r="B547" s="66" t="s">
        <v>65</v>
      </c>
      <c r="C547" s="46">
        <f t="shared" ref="C547:G547" si="214">C548+C549+C550+C551+C552+C553+C554+C555+C560+C561+C562+C563+C564+C565+C566+C567</f>
        <v>944423.19000000006</v>
      </c>
      <c r="D547" s="46">
        <f t="shared" si="214"/>
        <v>2541703.2800000003</v>
      </c>
      <c r="E547" s="46">
        <f t="shared" si="214"/>
        <v>291525.32</v>
      </c>
      <c r="F547" s="46">
        <f t="shared" si="214"/>
        <v>652897.87</v>
      </c>
      <c r="G547" s="46">
        <f t="shared" si="214"/>
        <v>0</v>
      </c>
      <c r="H547" s="57"/>
      <c r="I547" s="58"/>
      <c r="J547" s="58"/>
      <c r="K547" s="11"/>
      <c r="L547" s="46">
        <f t="shared" ref="L547:P547" si="215">L548+L549+L550+L551+L552+L553+L554+L555+L560+L561+L562+L563+L564+L565+L566+L567</f>
        <v>0</v>
      </c>
      <c r="M547" s="46">
        <f t="shared" si="215"/>
        <v>2541703.2800000003</v>
      </c>
      <c r="N547" s="46">
        <f t="shared" si="215"/>
        <v>0</v>
      </c>
      <c r="O547" s="46">
        <f t="shared" si="215"/>
        <v>0</v>
      </c>
      <c r="P547" s="46">
        <f t="shared" si="215"/>
        <v>0</v>
      </c>
    </row>
    <row r="548" spans="1:16" s="5" customFormat="1">
      <c r="A548" s="22"/>
      <c r="B548" s="59" t="s">
        <v>20</v>
      </c>
      <c r="C548" s="24">
        <f t="shared" ref="C548:C554" si="216">E548+F548+G548</f>
        <v>321446.5</v>
      </c>
      <c r="D548" s="25"/>
      <c r="E548" s="25"/>
      <c r="F548" s="25">
        <v>321446.5</v>
      </c>
      <c r="G548" s="25"/>
      <c r="H548" s="60"/>
      <c r="I548" s="61"/>
      <c r="J548" s="61"/>
      <c r="K548" s="27"/>
      <c r="L548" s="24">
        <f t="shared" ref="L548:L554" si="217">N548+O548+P548</f>
        <v>0</v>
      </c>
      <c r="M548" s="25"/>
      <c r="N548" s="25"/>
      <c r="O548" s="25"/>
      <c r="P548" s="25"/>
    </row>
    <row r="549" spans="1:16" s="1" customFormat="1">
      <c r="A549" s="28"/>
      <c r="B549" s="29" t="s">
        <v>21</v>
      </c>
      <c r="C549" s="24">
        <f t="shared" si="216"/>
        <v>0</v>
      </c>
      <c r="D549" s="30">
        <f>132+445</f>
        <v>577</v>
      </c>
      <c r="E549" s="30"/>
      <c r="F549" s="30"/>
      <c r="G549" s="30"/>
      <c r="H549" s="31"/>
      <c r="I549" s="31"/>
      <c r="J549" s="31"/>
      <c r="K549" s="31"/>
      <c r="L549" s="24">
        <f t="shared" si="217"/>
        <v>0</v>
      </c>
      <c r="M549" s="30">
        <f>132+445</f>
        <v>577</v>
      </c>
      <c r="N549" s="30"/>
      <c r="O549" s="30"/>
      <c r="P549" s="30"/>
    </row>
    <row r="550" spans="1:16" s="1" customFormat="1">
      <c r="A550" s="28"/>
      <c r="B550" s="32" t="s">
        <v>22</v>
      </c>
      <c r="C550" s="24">
        <f t="shared" si="216"/>
        <v>0</v>
      </c>
      <c r="D550" s="30"/>
      <c r="E550" s="30"/>
      <c r="F550" s="30"/>
      <c r="G550" s="30"/>
      <c r="H550" s="31"/>
      <c r="I550" s="31"/>
      <c r="J550" s="31"/>
      <c r="K550" s="31"/>
      <c r="L550" s="24">
        <f t="shared" si="217"/>
        <v>0</v>
      </c>
      <c r="M550" s="30"/>
      <c r="N550" s="30"/>
      <c r="O550" s="30"/>
      <c r="P550" s="30"/>
    </row>
    <row r="551" spans="1:16" s="1" customFormat="1">
      <c r="A551" s="28"/>
      <c r="B551" s="32" t="s">
        <v>23</v>
      </c>
      <c r="C551" s="24">
        <f t="shared" si="216"/>
        <v>0</v>
      </c>
      <c r="D551" s="30">
        <v>47722</v>
      </c>
      <c r="E551" s="30"/>
      <c r="F551" s="30"/>
      <c r="G551" s="30"/>
      <c r="H551" s="31"/>
      <c r="I551" s="31"/>
      <c r="J551" s="31"/>
      <c r="K551" s="31"/>
      <c r="L551" s="24">
        <f t="shared" si="217"/>
        <v>0</v>
      </c>
      <c r="M551" s="30">
        <v>47722</v>
      </c>
      <c r="N551" s="30"/>
      <c r="O551" s="30"/>
      <c r="P551" s="30"/>
    </row>
    <row r="552" spans="1:16" s="1" customFormat="1">
      <c r="A552" s="28"/>
      <c r="B552" s="29" t="s">
        <v>24</v>
      </c>
      <c r="C552" s="24">
        <f t="shared" si="216"/>
        <v>3.38</v>
      </c>
      <c r="D552" s="30">
        <v>37367.97</v>
      </c>
      <c r="E552" s="30">
        <v>3.38</v>
      </c>
      <c r="F552" s="30"/>
      <c r="G552" s="30"/>
      <c r="H552" s="31"/>
      <c r="I552" s="31"/>
      <c r="J552" s="31"/>
      <c r="K552" s="31"/>
      <c r="L552" s="24">
        <f t="shared" si="217"/>
        <v>0</v>
      </c>
      <c r="M552" s="30">
        <v>37367.97</v>
      </c>
      <c r="N552" s="30"/>
      <c r="O552" s="30"/>
      <c r="P552" s="30"/>
    </row>
    <row r="553" spans="1:16" s="1" customFormat="1">
      <c r="A553" s="28"/>
      <c r="B553" s="34" t="s">
        <v>25</v>
      </c>
      <c r="C553" s="24">
        <f t="shared" si="216"/>
        <v>0</v>
      </c>
      <c r="D553" s="30">
        <v>14544.91</v>
      </c>
      <c r="E553" s="30"/>
      <c r="F553" s="30"/>
      <c r="G553" s="30"/>
      <c r="H553" s="31"/>
      <c r="I553" s="31"/>
      <c r="J553" s="31"/>
      <c r="K553" s="31"/>
      <c r="L553" s="24">
        <f t="shared" si="217"/>
        <v>0</v>
      </c>
      <c r="M553" s="30">
        <v>14544.91</v>
      </c>
      <c r="N553" s="30"/>
      <c r="O553" s="30"/>
      <c r="P553" s="30"/>
    </row>
    <row r="554" spans="1:16" s="1" customFormat="1">
      <c r="A554" s="28"/>
      <c r="B554" s="32" t="s">
        <v>26</v>
      </c>
      <c r="C554" s="24">
        <f t="shared" si="216"/>
        <v>0</v>
      </c>
      <c r="D554" s="30"/>
      <c r="E554" s="30"/>
      <c r="F554" s="30"/>
      <c r="G554" s="30"/>
      <c r="H554" s="31"/>
      <c r="I554" s="31"/>
      <c r="J554" s="31"/>
      <c r="K554" s="31"/>
      <c r="L554" s="24">
        <f t="shared" si="217"/>
        <v>0</v>
      </c>
      <c r="M554" s="30"/>
      <c r="N554" s="30"/>
      <c r="O554" s="30"/>
      <c r="P554" s="30"/>
    </row>
    <row r="555" spans="1:16" s="1" customFormat="1" ht="30">
      <c r="A555" s="28"/>
      <c r="B555" s="35" t="s">
        <v>27</v>
      </c>
      <c r="C555" s="36">
        <f t="shared" ref="C555:G555" si="218">SUM(C556:C559)</f>
        <v>291521.94</v>
      </c>
      <c r="D555" s="36">
        <f t="shared" si="218"/>
        <v>818255.27</v>
      </c>
      <c r="E555" s="36">
        <f t="shared" si="218"/>
        <v>291521.94</v>
      </c>
      <c r="F555" s="36">
        <f t="shared" si="218"/>
        <v>0</v>
      </c>
      <c r="G555" s="36">
        <f t="shared" si="218"/>
        <v>0</v>
      </c>
      <c r="H555" s="31"/>
      <c r="I555" s="31"/>
      <c r="J555" s="31"/>
      <c r="K555" s="31"/>
      <c r="L555" s="36">
        <f t="shared" ref="L555:P555" si="219">SUM(L556:L559)</f>
        <v>0</v>
      </c>
      <c r="M555" s="36">
        <f t="shared" si="219"/>
        <v>818255.27</v>
      </c>
      <c r="N555" s="36">
        <f t="shared" si="219"/>
        <v>0</v>
      </c>
      <c r="O555" s="36">
        <f t="shared" si="219"/>
        <v>0</v>
      </c>
      <c r="P555" s="36">
        <f t="shared" si="219"/>
        <v>0</v>
      </c>
    </row>
    <row r="556" spans="1:16" s="1" customFormat="1">
      <c r="A556" s="28"/>
      <c r="B556" s="38" t="s">
        <v>28</v>
      </c>
      <c r="C556" s="24">
        <f t="shared" ref="C556:C566" si="220">E556+F556+G556</f>
        <v>291521.94</v>
      </c>
      <c r="D556" s="30"/>
      <c r="E556" s="30">
        <v>291521.94</v>
      </c>
      <c r="F556" s="30"/>
      <c r="G556" s="30"/>
      <c r="H556" s="31"/>
      <c r="I556" s="31"/>
      <c r="J556" s="31"/>
      <c r="K556" s="31"/>
      <c r="L556" s="24">
        <f t="shared" ref="L556:L566" si="221">N556+O556+P556</f>
        <v>0</v>
      </c>
      <c r="M556" s="30"/>
      <c r="N556" s="30"/>
      <c r="O556" s="30"/>
      <c r="P556" s="30"/>
    </row>
    <row r="557" spans="1:16" s="1" customFormat="1">
      <c r="A557" s="28"/>
      <c r="B557" s="38" t="s">
        <v>29</v>
      </c>
      <c r="C557" s="24">
        <f t="shared" si="220"/>
        <v>0</v>
      </c>
      <c r="D557" s="30">
        <v>640183.39</v>
      </c>
      <c r="E557" s="30"/>
      <c r="F557" s="30"/>
      <c r="G557" s="30"/>
      <c r="H557" s="31"/>
      <c r="I557" s="31"/>
      <c r="J557" s="31"/>
      <c r="K557" s="31"/>
      <c r="L557" s="24">
        <f t="shared" si="221"/>
        <v>0</v>
      </c>
      <c r="M557" s="30">
        <v>640183.39</v>
      </c>
      <c r="N557" s="30"/>
      <c r="O557" s="30"/>
      <c r="P557" s="30"/>
    </row>
    <row r="558" spans="1:16" s="1" customFormat="1">
      <c r="A558" s="28"/>
      <c r="B558" s="38" t="s">
        <v>30</v>
      </c>
      <c r="C558" s="24">
        <f t="shared" si="220"/>
        <v>0</v>
      </c>
      <c r="D558" s="30">
        <f>51722.71+5434.89</f>
        <v>57157.599999999999</v>
      </c>
      <c r="E558" s="30"/>
      <c r="F558" s="30"/>
      <c r="G558" s="30"/>
      <c r="H558" s="31"/>
      <c r="I558" s="31"/>
      <c r="J558" s="31"/>
      <c r="K558" s="31"/>
      <c r="L558" s="24">
        <f t="shared" si="221"/>
        <v>0</v>
      </c>
      <c r="M558" s="30">
        <f>51722.71+5434.89</f>
        <v>57157.599999999999</v>
      </c>
      <c r="N558" s="30"/>
      <c r="O558" s="30"/>
      <c r="P558" s="30"/>
    </row>
    <row r="559" spans="1:16" s="1" customFormat="1">
      <c r="A559" s="28"/>
      <c r="B559" s="38" t="s">
        <v>31</v>
      </c>
      <c r="C559" s="24">
        <f t="shared" si="220"/>
        <v>0</v>
      </c>
      <c r="D559" s="30">
        <v>120914.28</v>
      </c>
      <c r="E559" s="30"/>
      <c r="F559" s="30"/>
      <c r="G559" s="30"/>
      <c r="H559" s="31"/>
      <c r="I559" s="31"/>
      <c r="J559" s="31"/>
      <c r="K559" s="31"/>
      <c r="L559" s="24">
        <f t="shared" si="221"/>
        <v>0</v>
      </c>
      <c r="M559" s="30">
        <v>120914.28</v>
      </c>
      <c r="N559" s="30"/>
      <c r="O559" s="30"/>
      <c r="P559" s="30"/>
    </row>
    <row r="560" spans="1:16" s="1" customFormat="1" ht="30">
      <c r="A560" s="28"/>
      <c r="B560" s="39" t="s">
        <v>32</v>
      </c>
      <c r="C560" s="24">
        <f t="shared" si="220"/>
        <v>0</v>
      </c>
      <c r="D560" s="30"/>
      <c r="E560" s="30"/>
      <c r="F560" s="30"/>
      <c r="G560" s="30"/>
      <c r="H560" s="31"/>
      <c r="I560" s="31"/>
      <c r="J560" s="31"/>
      <c r="K560" s="31"/>
      <c r="L560" s="24">
        <f t="shared" si="221"/>
        <v>0</v>
      </c>
      <c r="M560" s="30"/>
      <c r="N560" s="30"/>
      <c r="O560" s="30"/>
      <c r="P560" s="30"/>
    </row>
    <row r="561" spans="1:16" s="1" customFormat="1" ht="30">
      <c r="A561" s="28"/>
      <c r="B561" s="39" t="s">
        <v>33</v>
      </c>
      <c r="C561" s="24">
        <f t="shared" si="220"/>
        <v>0</v>
      </c>
      <c r="D561" s="30">
        <f>12721.8+5000+5000+26930.78</f>
        <v>49652.58</v>
      </c>
      <c r="E561" s="30"/>
      <c r="F561" s="30"/>
      <c r="G561" s="30"/>
      <c r="H561" s="31"/>
      <c r="I561" s="31"/>
      <c r="J561" s="31"/>
      <c r="K561" s="31"/>
      <c r="L561" s="24">
        <f t="shared" si="221"/>
        <v>0</v>
      </c>
      <c r="M561" s="30">
        <f>12721.8+5000+5000+26930.78</f>
        <v>49652.58</v>
      </c>
      <c r="N561" s="30"/>
      <c r="O561" s="30"/>
      <c r="P561" s="30"/>
    </row>
    <row r="562" spans="1:16" s="1" customFormat="1" ht="30">
      <c r="A562" s="28"/>
      <c r="B562" s="40" t="s">
        <v>34</v>
      </c>
      <c r="C562" s="24">
        <f t="shared" si="220"/>
        <v>0</v>
      </c>
      <c r="D562" s="30"/>
      <c r="E562" s="30"/>
      <c r="F562" s="30"/>
      <c r="G562" s="30"/>
      <c r="H562" s="31"/>
      <c r="I562" s="31"/>
      <c r="J562" s="31"/>
      <c r="K562" s="31"/>
      <c r="L562" s="24">
        <f t="shared" si="221"/>
        <v>0</v>
      </c>
      <c r="M562" s="30"/>
      <c r="N562" s="30"/>
      <c r="O562" s="30"/>
      <c r="P562" s="30"/>
    </row>
    <row r="563" spans="1:16" s="1" customFormat="1">
      <c r="A563" s="28"/>
      <c r="B563" s="40" t="s">
        <v>35</v>
      </c>
      <c r="C563" s="24">
        <f t="shared" si="220"/>
        <v>0</v>
      </c>
      <c r="D563" s="30">
        <f>88024+84000+8620+12476.7+60000+3063+60849.93+0.03</f>
        <v>317033.66000000003</v>
      </c>
      <c r="E563" s="30"/>
      <c r="F563" s="30"/>
      <c r="G563" s="30"/>
      <c r="H563" s="31"/>
      <c r="I563" s="31"/>
      <c r="J563" s="31"/>
      <c r="K563" s="31"/>
      <c r="L563" s="24">
        <f t="shared" si="221"/>
        <v>0</v>
      </c>
      <c r="M563" s="30">
        <f>88024+84000+8620+12476.7+60000+3063+60849.93+0.03</f>
        <v>317033.66000000003</v>
      </c>
      <c r="N563" s="30"/>
      <c r="O563" s="30"/>
      <c r="P563" s="30"/>
    </row>
    <row r="564" spans="1:16" s="1" customFormat="1" ht="30">
      <c r="A564" s="28"/>
      <c r="B564" s="41" t="s">
        <v>36</v>
      </c>
      <c r="C564" s="24">
        <f t="shared" si="220"/>
        <v>0</v>
      </c>
      <c r="D564" s="30"/>
      <c r="E564" s="30"/>
      <c r="F564" s="30"/>
      <c r="G564" s="30"/>
      <c r="H564" s="31"/>
      <c r="I564" s="31"/>
      <c r="J564" s="31"/>
      <c r="K564" s="31"/>
      <c r="L564" s="24">
        <f t="shared" si="221"/>
        <v>0</v>
      </c>
      <c r="M564" s="30"/>
      <c r="N564" s="30"/>
      <c r="O564" s="30"/>
      <c r="P564" s="30"/>
    </row>
    <row r="565" spans="1:16" s="1" customFormat="1">
      <c r="A565" s="28"/>
      <c r="B565" s="42" t="s">
        <v>37</v>
      </c>
      <c r="C565" s="24">
        <f t="shared" si="220"/>
        <v>0</v>
      </c>
      <c r="D565" s="30">
        <f>4298</f>
        <v>4298</v>
      </c>
      <c r="E565" s="30"/>
      <c r="F565" s="30"/>
      <c r="G565" s="30"/>
      <c r="H565" s="31"/>
      <c r="I565" s="31"/>
      <c r="J565" s="31"/>
      <c r="K565" s="31"/>
      <c r="L565" s="24">
        <f t="shared" si="221"/>
        <v>0</v>
      </c>
      <c r="M565" s="30">
        <f>4298</f>
        <v>4298</v>
      </c>
      <c r="N565" s="30"/>
      <c r="O565" s="30"/>
      <c r="P565" s="30"/>
    </row>
    <row r="566" spans="1:16" s="1" customFormat="1" ht="30">
      <c r="A566" s="28"/>
      <c r="B566" s="42" t="s">
        <v>38</v>
      </c>
      <c r="C566" s="24">
        <f t="shared" si="220"/>
        <v>0</v>
      </c>
      <c r="D566" s="30">
        <f>5460+1650+2405+19350+20060.28+224670.15+30617.84+6190+59601+154681.4+328688</f>
        <v>853373.67</v>
      </c>
      <c r="E566" s="30"/>
      <c r="F566" s="30"/>
      <c r="G566" s="30"/>
      <c r="H566" s="31"/>
      <c r="I566" s="31"/>
      <c r="J566" s="31"/>
      <c r="K566" s="31"/>
      <c r="L566" s="24">
        <f t="shared" si="221"/>
        <v>0</v>
      </c>
      <c r="M566" s="30">
        <f>5460+1650+2405+19350+20060.28+224670.15+30617.84+6190+59601+154681.4+328688</f>
        <v>853373.67</v>
      </c>
      <c r="N566" s="30"/>
      <c r="O566" s="30"/>
      <c r="P566" s="30"/>
    </row>
    <row r="567" spans="1:16" s="1" customFormat="1" ht="30">
      <c r="A567" s="28"/>
      <c r="B567" s="43" t="s">
        <v>39</v>
      </c>
      <c r="C567" s="36">
        <f t="shared" ref="C567:G567" si="222">SUM(C568:C574)</f>
        <v>331451.37</v>
      </c>
      <c r="D567" s="36">
        <f t="shared" si="222"/>
        <v>398878.22000000003</v>
      </c>
      <c r="E567" s="36">
        <f t="shared" si="222"/>
        <v>0</v>
      </c>
      <c r="F567" s="36">
        <f t="shared" si="222"/>
        <v>331451.37</v>
      </c>
      <c r="G567" s="36">
        <f t="shared" si="222"/>
        <v>0</v>
      </c>
      <c r="H567" s="31"/>
      <c r="I567" s="31"/>
      <c r="J567" s="31"/>
      <c r="K567" s="31"/>
      <c r="L567" s="36">
        <f t="shared" ref="L567:P567" si="223">SUM(L568:L574)</f>
        <v>0</v>
      </c>
      <c r="M567" s="36">
        <f t="shared" si="223"/>
        <v>398878.22000000003</v>
      </c>
      <c r="N567" s="36">
        <f t="shared" si="223"/>
        <v>0</v>
      </c>
      <c r="O567" s="36">
        <f t="shared" si="223"/>
        <v>0</v>
      </c>
      <c r="P567" s="36">
        <f t="shared" si="223"/>
        <v>0</v>
      </c>
    </row>
    <row r="568" spans="1:16" s="1" customFormat="1" ht="30">
      <c r="A568" s="28" t="s">
        <v>40</v>
      </c>
      <c r="B568" s="39" t="s">
        <v>41</v>
      </c>
      <c r="C568" s="24">
        <f t="shared" ref="C568:C574" si="224">E568+F568+G568</f>
        <v>0</v>
      </c>
      <c r="D568" s="30"/>
      <c r="E568" s="30"/>
      <c r="F568" s="30"/>
      <c r="G568" s="30"/>
      <c r="H568" s="31"/>
      <c r="I568" s="31"/>
      <c r="J568" s="31"/>
      <c r="K568" s="31"/>
      <c r="L568" s="24">
        <f t="shared" ref="L568:L574" si="225">N568+O568+P568</f>
        <v>0</v>
      </c>
      <c r="M568" s="30"/>
      <c r="N568" s="30"/>
      <c r="O568" s="30"/>
      <c r="P568" s="30"/>
    </row>
    <row r="569" spans="1:16" s="1" customFormat="1">
      <c r="A569" s="28"/>
      <c r="B569" s="39" t="s">
        <v>42</v>
      </c>
      <c r="C569" s="24">
        <f t="shared" si="224"/>
        <v>0</v>
      </c>
      <c r="D569" s="30">
        <v>45000</v>
      </c>
      <c r="E569" s="30"/>
      <c r="F569" s="30"/>
      <c r="G569" s="30"/>
      <c r="H569" s="31"/>
      <c r="I569" s="31"/>
      <c r="J569" s="31"/>
      <c r="K569" s="31"/>
      <c r="L569" s="24">
        <f t="shared" si="225"/>
        <v>0</v>
      </c>
      <c r="M569" s="30">
        <v>45000</v>
      </c>
      <c r="N569" s="30"/>
      <c r="O569" s="30"/>
      <c r="P569" s="30"/>
    </row>
    <row r="570" spans="1:16" s="1" customFormat="1">
      <c r="A570" s="28"/>
      <c r="B570" s="39" t="s">
        <v>43</v>
      </c>
      <c r="C570" s="24">
        <f t="shared" si="224"/>
        <v>0</v>
      </c>
      <c r="D570" s="30">
        <f>9770+2085</f>
        <v>11855</v>
      </c>
      <c r="E570" s="30"/>
      <c r="F570" s="30"/>
      <c r="G570" s="30"/>
      <c r="H570" s="31"/>
      <c r="I570" s="31"/>
      <c r="J570" s="31"/>
      <c r="K570" s="31"/>
      <c r="L570" s="24">
        <f t="shared" si="225"/>
        <v>0</v>
      </c>
      <c r="M570" s="30">
        <f>9770+2085</f>
        <v>11855</v>
      </c>
      <c r="N570" s="30"/>
      <c r="O570" s="30"/>
      <c r="P570" s="30"/>
    </row>
    <row r="571" spans="1:16" s="1" customFormat="1">
      <c r="A571" s="28"/>
      <c r="B571" s="39" t="s">
        <v>44</v>
      </c>
      <c r="C571" s="24">
        <f t="shared" si="224"/>
        <v>331451.37</v>
      </c>
      <c r="D571" s="30">
        <f>41108.48</f>
        <v>41108.480000000003</v>
      </c>
      <c r="E571" s="30"/>
      <c r="F571" s="30">
        <f>9031.28+276976.23+45443.86</f>
        <v>331451.37</v>
      </c>
      <c r="G571" s="30"/>
      <c r="H571" s="31"/>
      <c r="I571" s="31"/>
      <c r="J571" s="31"/>
      <c r="K571" s="31"/>
      <c r="L571" s="24">
        <f t="shared" si="225"/>
        <v>0</v>
      </c>
      <c r="M571" s="30">
        <f>41108.48</f>
        <v>41108.480000000003</v>
      </c>
      <c r="N571" s="30"/>
      <c r="O571" s="30"/>
      <c r="P571" s="30"/>
    </row>
    <row r="572" spans="1:16" s="1" customFormat="1">
      <c r="A572" s="28"/>
      <c r="B572" s="39" t="s">
        <v>45</v>
      </c>
      <c r="C572" s="24">
        <f t="shared" si="224"/>
        <v>0</v>
      </c>
      <c r="D572" s="30">
        <v>48680.88</v>
      </c>
      <c r="E572" s="30"/>
      <c r="F572" s="30"/>
      <c r="G572" s="30"/>
      <c r="H572" s="31"/>
      <c r="I572" s="31"/>
      <c r="J572" s="31"/>
      <c r="K572" s="31"/>
      <c r="L572" s="24">
        <f t="shared" si="225"/>
        <v>0</v>
      </c>
      <c r="M572" s="30">
        <v>48680.88</v>
      </c>
      <c r="N572" s="30"/>
      <c r="O572" s="30"/>
      <c r="P572" s="30"/>
    </row>
    <row r="573" spans="1:16" s="1" customFormat="1" ht="30">
      <c r="A573" s="28"/>
      <c r="B573" s="39" t="s">
        <v>46</v>
      </c>
      <c r="C573" s="24">
        <f t="shared" si="224"/>
        <v>0</v>
      </c>
      <c r="D573" s="30"/>
      <c r="E573" s="30"/>
      <c r="F573" s="30"/>
      <c r="G573" s="30"/>
      <c r="H573" s="31"/>
      <c r="I573" s="31"/>
      <c r="J573" s="31"/>
      <c r="K573" s="31"/>
      <c r="L573" s="24">
        <f t="shared" si="225"/>
        <v>0</v>
      </c>
      <c r="M573" s="30"/>
      <c r="N573" s="30"/>
      <c r="O573" s="30"/>
      <c r="P573" s="30"/>
    </row>
    <row r="574" spans="1:16" s="1" customFormat="1">
      <c r="A574" s="28"/>
      <c r="B574" s="39" t="s">
        <v>47</v>
      </c>
      <c r="C574" s="24">
        <f t="shared" si="224"/>
        <v>0</v>
      </c>
      <c r="D574" s="30">
        <f>5000+10565+50593+6083+7220+6000+10000+19653.05+9677.3+21032+3000+60020+37990.51+5400</f>
        <v>252233.86000000002</v>
      </c>
      <c r="E574" s="30"/>
      <c r="F574" s="30"/>
      <c r="G574" s="30"/>
      <c r="H574" s="31"/>
      <c r="I574" s="31"/>
      <c r="J574" s="31"/>
      <c r="K574" s="31"/>
      <c r="L574" s="24">
        <f t="shared" si="225"/>
        <v>0</v>
      </c>
      <c r="M574" s="30">
        <f>5000+10565+50593+6083+7220+6000+10000+19653.05+9677.3+21032+3000+60020+37990.51+5400</f>
        <v>252233.86000000002</v>
      </c>
      <c r="N574" s="30"/>
      <c r="O574" s="30"/>
      <c r="P574" s="30"/>
    </row>
    <row r="575" spans="1:16" s="1" customFormat="1" ht="36.75" customHeight="1">
      <c r="A575" s="211" t="s">
        <v>3</v>
      </c>
      <c r="B575" s="213" t="s">
        <v>4</v>
      </c>
      <c r="C575" s="213" t="s">
        <v>5</v>
      </c>
      <c r="D575" s="10" t="s">
        <v>6</v>
      </c>
      <c r="E575" s="215" t="s">
        <v>7</v>
      </c>
      <c r="F575" s="216"/>
      <c r="G575" s="217"/>
      <c r="H575" s="218" t="s">
        <v>8</v>
      </c>
      <c r="I575" s="218"/>
      <c r="J575" s="218"/>
      <c r="K575" s="11"/>
      <c r="L575" s="219" t="s">
        <v>9</v>
      </c>
      <c r="M575" s="12" t="s">
        <v>6</v>
      </c>
      <c r="N575" s="208" t="s">
        <v>10</v>
      </c>
      <c r="O575" s="209"/>
      <c r="P575" s="210"/>
    </row>
    <row r="576" spans="1:16" s="1" customFormat="1" ht="47.25" customHeight="1">
      <c r="A576" s="212"/>
      <c r="B576" s="214"/>
      <c r="C576" s="214"/>
      <c r="D576" s="13" t="s">
        <v>11</v>
      </c>
      <c r="E576" s="13" t="s">
        <v>12</v>
      </c>
      <c r="F576" s="13" t="s">
        <v>13</v>
      </c>
      <c r="G576" s="13" t="s">
        <v>14</v>
      </c>
      <c r="H576" s="14" t="s">
        <v>15</v>
      </c>
      <c r="I576" s="14" t="s">
        <v>16</v>
      </c>
      <c r="J576" s="14" t="s">
        <v>17</v>
      </c>
      <c r="K576" s="14" t="s">
        <v>18</v>
      </c>
      <c r="L576" s="220"/>
      <c r="M576" s="15" t="s">
        <v>11</v>
      </c>
      <c r="N576" s="15" t="s">
        <v>12</v>
      </c>
      <c r="O576" s="15" t="s">
        <v>13</v>
      </c>
      <c r="P576" s="15" t="s">
        <v>14</v>
      </c>
    </row>
    <row r="577" spans="1:16" s="1" customFormat="1">
      <c r="A577" s="45">
        <v>20</v>
      </c>
      <c r="B577" s="67" t="s">
        <v>66</v>
      </c>
      <c r="C577" s="46">
        <f t="shared" ref="C577:G577" si="226">C578+C579+C580+C581+C582+C583+C584+C585+C590+C591+C592+C593+C594+C595+C596+C597</f>
        <v>725988.36</v>
      </c>
      <c r="D577" s="46">
        <f t="shared" si="226"/>
        <v>383764.9</v>
      </c>
      <c r="E577" s="46">
        <f t="shared" si="226"/>
        <v>496179.39</v>
      </c>
      <c r="F577" s="46">
        <f t="shared" si="226"/>
        <v>229808.96999999997</v>
      </c>
      <c r="G577" s="46">
        <f t="shared" si="226"/>
        <v>0</v>
      </c>
      <c r="H577" s="57"/>
      <c r="I577" s="58"/>
      <c r="J577" s="58"/>
      <c r="K577" s="11"/>
      <c r="L577" s="46">
        <f t="shared" ref="L577:P577" si="227">L578+L579+L580+L581+L582+L583+L584+L585+L590+L591+L592+L593+L594+L595+L596+L597</f>
        <v>0</v>
      </c>
      <c r="M577" s="46">
        <f t="shared" si="227"/>
        <v>383764.9</v>
      </c>
      <c r="N577" s="46">
        <f t="shared" si="227"/>
        <v>0</v>
      </c>
      <c r="O577" s="46">
        <f t="shared" si="227"/>
        <v>0</v>
      </c>
      <c r="P577" s="46">
        <f t="shared" si="227"/>
        <v>0</v>
      </c>
    </row>
    <row r="578" spans="1:16" s="5" customFormat="1">
      <c r="A578" s="22"/>
      <c r="B578" s="59" t="s">
        <v>20</v>
      </c>
      <c r="C578" s="24">
        <f t="shared" ref="C578:C584" si="228">E578+F578+G578</f>
        <v>108539.75</v>
      </c>
      <c r="D578" s="25"/>
      <c r="E578" s="25"/>
      <c r="F578" s="24">
        <v>108539.75</v>
      </c>
      <c r="G578" s="25"/>
      <c r="H578" s="60"/>
      <c r="I578" s="61"/>
      <c r="J578" s="61"/>
      <c r="K578" s="27"/>
      <c r="L578" s="24">
        <f t="shared" ref="L578:L584" si="229">N578+O578+P578</f>
        <v>0</v>
      </c>
      <c r="M578" s="25"/>
      <c r="N578" s="25"/>
      <c r="O578" s="24"/>
      <c r="P578" s="25"/>
    </row>
    <row r="579" spans="1:16" s="1" customFormat="1">
      <c r="A579" s="28"/>
      <c r="B579" s="29" t="s">
        <v>21</v>
      </c>
      <c r="C579" s="24">
        <f t="shared" si="228"/>
        <v>0</v>
      </c>
      <c r="D579" s="30">
        <f>992.11+21601.12</f>
        <v>22593.23</v>
      </c>
      <c r="E579" s="30"/>
      <c r="F579" s="30"/>
      <c r="G579" s="30"/>
      <c r="H579" s="31"/>
      <c r="I579" s="31"/>
      <c r="J579" s="31"/>
      <c r="K579" s="31"/>
      <c r="L579" s="24">
        <f t="shared" si="229"/>
        <v>0</v>
      </c>
      <c r="M579" s="30">
        <f>992.11+21601.12</f>
        <v>22593.23</v>
      </c>
      <c r="N579" s="30"/>
      <c r="O579" s="30"/>
      <c r="P579" s="30"/>
    </row>
    <row r="580" spans="1:16" s="1" customFormat="1">
      <c r="A580" s="28"/>
      <c r="B580" s="32" t="s">
        <v>22</v>
      </c>
      <c r="C580" s="24">
        <f t="shared" si="228"/>
        <v>0</v>
      </c>
      <c r="D580" s="30"/>
      <c r="E580" s="30"/>
      <c r="F580" s="30"/>
      <c r="G580" s="30"/>
      <c r="H580" s="31"/>
      <c r="I580" s="31"/>
      <c r="J580" s="31"/>
      <c r="K580" s="31"/>
      <c r="L580" s="24">
        <f t="shared" si="229"/>
        <v>0</v>
      </c>
      <c r="M580" s="30"/>
      <c r="N580" s="30"/>
      <c r="O580" s="30"/>
      <c r="P580" s="30"/>
    </row>
    <row r="581" spans="1:16" s="1" customFormat="1">
      <c r="A581" s="28"/>
      <c r="B581" s="32" t="s">
        <v>23</v>
      </c>
      <c r="C581" s="24">
        <f t="shared" si="228"/>
        <v>0</v>
      </c>
      <c r="D581" s="30"/>
      <c r="E581" s="30"/>
      <c r="F581" s="30"/>
      <c r="G581" s="30"/>
      <c r="H581" s="31"/>
      <c r="I581" s="31"/>
      <c r="J581" s="31"/>
      <c r="K581" s="31"/>
      <c r="L581" s="24">
        <f t="shared" si="229"/>
        <v>0</v>
      </c>
      <c r="M581" s="30"/>
      <c r="N581" s="30"/>
      <c r="O581" s="30"/>
      <c r="P581" s="30"/>
    </row>
    <row r="582" spans="1:16" s="1" customFormat="1">
      <c r="A582" s="28"/>
      <c r="B582" s="29" t="s">
        <v>24</v>
      </c>
      <c r="C582" s="24">
        <f t="shared" si="228"/>
        <v>1</v>
      </c>
      <c r="D582" s="30">
        <f>5152.35+200.01+0.02</f>
        <v>5352.380000000001</v>
      </c>
      <c r="E582" s="30">
        <v>1</v>
      </c>
      <c r="F582" s="30"/>
      <c r="G582" s="30"/>
      <c r="H582" s="31"/>
      <c r="I582" s="31"/>
      <c r="J582" s="31"/>
      <c r="K582" s="31"/>
      <c r="L582" s="24">
        <f t="shared" si="229"/>
        <v>0</v>
      </c>
      <c r="M582" s="30">
        <f>5152.35+200.01+0.02</f>
        <v>5352.380000000001</v>
      </c>
      <c r="N582" s="30"/>
      <c r="O582" s="30"/>
      <c r="P582" s="30"/>
    </row>
    <row r="583" spans="1:16" s="1" customFormat="1">
      <c r="A583" s="28"/>
      <c r="B583" s="34" t="s">
        <v>25</v>
      </c>
      <c r="C583" s="24">
        <f t="shared" si="228"/>
        <v>0</v>
      </c>
      <c r="D583" s="30">
        <v>10000</v>
      </c>
      <c r="E583" s="30"/>
      <c r="F583" s="30"/>
      <c r="G583" s="30"/>
      <c r="H583" s="31"/>
      <c r="I583" s="31"/>
      <c r="J583" s="31"/>
      <c r="K583" s="31"/>
      <c r="L583" s="24">
        <f t="shared" si="229"/>
        <v>0</v>
      </c>
      <c r="M583" s="30">
        <v>10000</v>
      </c>
      <c r="N583" s="30"/>
      <c r="O583" s="30"/>
      <c r="P583" s="30"/>
    </row>
    <row r="584" spans="1:16" s="1" customFormat="1">
      <c r="A584" s="28"/>
      <c r="B584" s="32" t="s">
        <v>26</v>
      </c>
      <c r="C584" s="24">
        <f t="shared" si="228"/>
        <v>0</v>
      </c>
      <c r="D584" s="30"/>
      <c r="E584" s="30"/>
      <c r="F584" s="30"/>
      <c r="G584" s="30"/>
      <c r="H584" s="31"/>
      <c r="I584" s="31"/>
      <c r="J584" s="31"/>
      <c r="K584" s="31"/>
      <c r="L584" s="24">
        <f t="shared" si="229"/>
        <v>0</v>
      </c>
      <c r="M584" s="30"/>
      <c r="N584" s="30"/>
      <c r="O584" s="30"/>
      <c r="P584" s="30"/>
    </row>
    <row r="585" spans="1:16" s="1" customFormat="1" ht="30">
      <c r="A585" s="28"/>
      <c r="B585" s="35" t="s">
        <v>27</v>
      </c>
      <c r="C585" s="36">
        <f t="shared" ref="C585:G585" si="230">SUM(C586:C589)</f>
        <v>365673.39</v>
      </c>
      <c r="D585" s="36">
        <f t="shared" si="230"/>
        <v>0</v>
      </c>
      <c r="E585" s="36">
        <f t="shared" si="230"/>
        <v>365673.39</v>
      </c>
      <c r="F585" s="36">
        <f t="shared" si="230"/>
        <v>0</v>
      </c>
      <c r="G585" s="36">
        <f t="shared" si="230"/>
        <v>0</v>
      </c>
      <c r="H585" s="31"/>
      <c r="I585" s="31"/>
      <c r="J585" s="31"/>
      <c r="K585" s="31"/>
      <c r="L585" s="36">
        <f t="shared" ref="L585:P585" si="231">SUM(L586:L589)</f>
        <v>0</v>
      </c>
      <c r="M585" s="36">
        <f t="shared" si="231"/>
        <v>0</v>
      </c>
      <c r="N585" s="36">
        <f t="shared" si="231"/>
        <v>0</v>
      </c>
      <c r="O585" s="36">
        <f t="shared" si="231"/>
        <v>0</v>
      </c>
      <c r="P585" s="36">
        <f t="shared" si="231"/>
        <v>0</v>
      </c>
    </row>
    <row r="586" spans="1:16" s="1" customFormat="1">
      <c r="A586" s="28"/>
      <c r="B586" s="38" t="s">
        <v>28</v>
      </c>
      <c r="C586" s="24">
        <f t="shared" ref="C586:C596" si="232">E586+F586+G586</f>
        <v>0.88</v>
      </c>
      <c r="D586" s="30"/>
      <c r="E586" s="30">
        <v>0.88</v>
      </c>
      <c r="F586" s="30"/>
      <c r="G586" s="30"/>
      <c r="H586" s="31"/>
      <c r="I586" s="31"/>
      <c r="J586" s="31"/>
      <c r="K586" s="31"/>
      <c r="L586" s="24">
        <f t="shared" ref="L586:L596" si="233">N586+O586+P586</f>
        <v>0</v>
      </c>
      <c r="M586" s="30"/>
      <c r="N586" s="30"/>
      <c r="O586" s="30"/>
      <c r="P586" s="30"/>
    </row>
    <row r="587" spans="1:16" s="1" customFormat="1">
      <c r="A587" s="28"/>
      <c r="B587" s="38" t="s">
        <v>29</v>
      </c>
      <c r="C587" s="24">
        <f t="shared" si="232"/>
        <v>365672.51</v>
      </c>
      <c r="D587" s="30"/>
      <c r="E587" s="30">
        <v>365672.51</v>
      </c>
      <c r="F587" s="30"/>
      <c r="G587" s="30"/>
      <c r="H587" s="31"/>
      <c r="I587" s="31"/>
      <c r="J587" s="31"/>
      <c r="K587" s="31"/>
      <c r="L587" s="24">
        <f t="shared" si="233"/>
        <v>0</v>
      </c>
      <c r="M587" s="30"/>
      <c r="N587" s="30"/>
      <c r="O587" s="30"/>
      <c r="P587" s="30"/>
    </row>
    <row r="588" spans="1:16" s="1" customFormat="1">
      <c r="A588" s="28"/>
      <c r="B588" s="38" t="s">
        <v>30</v>
      </c>
      <c r="C588" s="24">
        <f t="shared" si="232"/>
        <v>0</v>
      </c>
      <c r="D588" s="30"/>
      <c r="E588" s="30"/>
      <c r="F588" s="30"/>
      <c r="G588" s="30"/>
      <c r="H588" s="31"/>
      <c r="I588" s="31"/>
      <c r="J588" s="31"/>
      <c r="K588" s="31"/>
      <c r="L588" s="24">
        <f t="shared" si="233"/>
        <v>0</v>
      </c>
      <c r="M588" s="30"/>
      <c r="N588" s="30"/>
      <c r="O588" s="30"/>
      <c r="P588" s="30"/>
    </row>
    <row r="589" spans="1:16" s="1" customFormat="1">
      <c r="A589" s="28"/>
      <c r="B589" s="38" t="s">
        <v>31</v>
      </c>
      <c r="C589" s="24">
        <f t="shared" si="232"/>
        <v>0</v>
      </c>
      <c r="D589" s="30"/>
      <c r="E589" s="30"/>
      <c r="F589" s="30"/>
      <c r="G589" s="30"/>
      <c r="H589" s="31"/>
      <c r="I589" s="31"/>
      <c r="J589" s="31"/>
      <c r="K589" s="31"/>
      <c r="L589" s="24">
        <f t="shared" si="233"/>
        <v>0</v>
      </c>
      <c r="M589" s="30"/>
      <c r="N589" s="30"/>
      <c r="O589" s="30"/>
      <c r="P589" s="30"/>
    </row>
    <row r="590" spans="1:16" s="1" customFormat="1" ht="30">
      <c r="A590" s="28"/>
      <c r="B590" s="39" t="s">
        <v>32</v>
      </c>
      <c r="C590" s="24">
        <f t="shared" si="232"/>
        <v>0</v>
      </c>
      <c r="D590" s="30"/>
      <c r="E590" s="30"/>
      <c r="F590" s="30"/>
      <c r="G590" s="30"/>
      <c r="H590" s="31"/>
      <c r="I590" s="31"/>
      <c r="J590" s="31"/>
      <c r="K590" s="31"/>
      <c r="L590" s="24">
        <f t="shared" si="233"/>
        <v>0</v>
      </c>
      <c r="M590" s="30"/>
      <c r="N590" s="30"/>
      <c r="O590" s="30"/>
      <c r="P590" s="30"/>
    </row>
    <row r="591" spans="1:16" s="1" customFormat="1" ht="30">
      <c r="A591" s="28"/>
      <c r="B591" s="39" t="s">
        <v>33</v>
      </c>
      <c r="C591" s="24">
        <f t="shared" si="232"/>
        <v>130316</v>
      </c>
      <c r="D591" s="30">
        <f>9750</f>
        <v>9750</v>
      </c>
      <c r="E591" s="30">
        <f>130316</f>
        <v>130316</v>
      </c>
      <c r="F591" s="30"/>
      <c r="G591" s="30"/>
      <c r="H591" s="31"/>
      <c r="I591" s="31"/>
      <c r="J591" s="31"/>
      <c r="K591" s="31"/>
      <c r="L591" s="24">
        <f t="shared" si="233"/>
        <v>0</v>
      </c>
      <c r="M591" s="30">
        <f>9750</f>
        <v>9750</v>
      </c>
      <c r="N591" s="30"/>
      <c r="O591" s="30"/>
      <c r="P591" s="30"/>
    </row>
    <row r="592" spans="1:16" s="1" customFormat="1" ht="30">
      <c r="A592" s="28"/>
      <c r="B592" s="40" t="s">
        <v>34</v>
      </c>
      <c r="C592" s="24">
        <f t="shared" si="232"/>
        <v>0</v>
      </c>
      <c r="D592" s="30"/>
      <c r="E592" s="30"/>
      <c r="F592" s="30"/>
      <c r="G592" s="30"/>
      <c r="H592" s="31"/>
      <c r="I592" s="31"/>
      <c r="J592" s="31"/>
      <c r="K592" s="31"/>
      <c r="L592" s="24">
        <f t="shared" si="233"/>
        <v>0</v>
      </c>
      <c r="M592" s="30"/>
      <c r="N592" s="30"/>
      <c r="O592" s="30"/>
      <c r="P592" s="30"/>
    </row>
    <row r="593" spans="1:16" s="1" customFormat="1">
      <c r="A593" s="28"/>
      <c r="B593" s="40" t="s">
        <v>35</v>
      </c>
      <c r="C593" s="24">
        <f t="shared" si="232"/>
        <v>11950</v>
      </c>
      <c r="D593" s="30">
        <f>75000+1466.95+23031</f>
        <v>99497.95</v>
      </c>
      <c r="E593" s="30"/>
      <c r="F593" s="30">
        <f>1950+10000</f>
        <v>11950</v>
      </c>
      <c r="G593" s="30"/>
      <c r="H593" s="31"/>
      <c r="I593" s="31"/>
      <c r="J593" s="31"/>
      <c r="K593" s="31"/>
      <c r="L593" s="24">
        <f t="shared" si="233"/>
        <v>0</v>
      </c>
      <c r="M593" s="30">
        <f>75000+1466.95+23031</f>
        <v>99497.95</v>
      </c>
      <c r="N593" s="30"/>
      <c r="O593" s="30"/>
      <c r="P593" s="30"/>
    </row>
    <row r="594" spans="1:16" s="1" customFormat="1" ht="30">
      <c r="A594" s="28"/>
      <c r="B594" s="41" t="s">
        <v>36</v>
      </c>
      <c r="C594" s="24">
        <f t="shared" si="232"/>
        <v>0</v>
      </c>
      <c r="D594" s="30"/>
      <c r="E594" s="30"/>
      <c r="F594" s="30"/>
      <c r="G594" s="30"/>
      <c r="H594" s="31"/>
      <c r="I594" s="31"/>
      <c r="J594" s="31"/>
      <c r="K594" s="31"/>
      <c r="L594" s="24">
        <f t="shared" si="233"/>
        <v>0</v>
      </c>
      <c r="M594" s="30"/>
      <c r="N594" s="30"/>
      <c r="O594" s="30"/>
      <c r="P594" s="30"/>
    </row>
    <row r="595" spans="1:16" s="1" customFormat="1">
      <c r="A595" s="28"/>
      <c r="B595" s="42" t="s">
        <v>37</v>
      </c>
      <c r="C595" s="24">
        <f t="shared" si="232"/>
        <v>0</v>
      </c>
      <c r="D595" s="30"/>
      <c r="E595" s="30"/>
      <c r="F595" s="30"/>
      <c r="G595" s="30"/>
      <c r="H595" s="31"/>
      <c r="I595" s="31"/>
      <c r="J595" s="31"/>
      <c r="K595" s="31"/>
      <c r="L595" s="24">
        <f t="shared" si="233"/>
        <v>0</v>
      </c>
      <c r="M595" s="30"/>
      <c r="N595" s="30"/>
      <c r="O595" s="30"/>
      <c r="P595" s="30"/>
    </row>
    <row r="596" spans="1:16" s="1" customFormat="1" ht="30">
      <c r="A596" s="28"/>
      <c r="B596" s="42" t="s">
        <v>38</v>
      </c>
      <c r="C596" s="24">
        <f t="shared" si="232"/>
        <v>0</v>
      </c>
      <c r="D596" s="30">
        <v>213512.6</v>
      </c>
      <c r="E596" s="30"/>
      <c r="F596" s="30"/>
      <c r="G596" s="30"/>
      <c r="H596" s="31"/>
      <c r="I596" s="31"/>
      <c r="J596" s="31"/>
      <c r="K596" s="31"/>
      <c r="L596" s="24">
        <f t="shared" si="233"/>
        <v>0</v>
      </c>
      <c r="M596" s="30">
        <v>213512.6</v>
      </c>
      <c r="N596" s="30"/>
      <c r="O596" s="30"/>
      <c r="P596" s="30"/>
    </row>
    <row r="597" spans="1:16" s="1" customFormat="1" ht="30">
      <c r="A597" s="28"/>
      <c r="B597" s="43" t="s">
        <v>39</v>
      </c>
      <c r="C597" s="36">
        <f t="shared" ref="C597:G597" si="234">SUM(C598:C604)</f>
        <v>109508.21999999999</v>
      </c>
      <c r="D597" s="36">
        <f t="shared" si="234"/>
        <v>23058.739999999998</v>
      </c>
      <c r="E597" s="36">
        <f t="shared" si="234"/>
        <v>189</v>
      </c>
      <c r="F597" s="36">
        <f t="shared" si="234"/>
        <v>109319.21999999999</v>
      </c>
      <c r="G597" s="36">
        <f t="shared" si="234"/>
        <v>0</v>
      </c>
      <c r="H597" s="31"/>
      <c r="I597" s="31"/>
      <c r="J597" s="31"/>
      <c r="K597" s="31"/>
      <c r="L597" s="36">
        <f t="shared" ref="L597:P597" si="235">SUM(L598:L604)</f>
        <v>0</v>
      </c>
      <c r="M597" s="36">
        <f t="shared" si="235"/>
        <v>23058.739999999998</v>
      </c>
      <c r="N597" s="36">
        <f t="shared" si="235"/>
        <v>0</v>
      </c>
      <c r="O597" s="36">
        <f t="shared" si="235"/>
        <v>0</v>
      </c>
      <c r="P597" s="36">
        <f t="shared" si="235"/>
        <v>0</v>
      </c>
    </row>
    <row r="598" spans="1:16" s="1" customFormat="1" ht="30">
      <c r="A598" s="28" t="s">
        <v>40</v>
      </c>
      <c r="B598" s="39" t="s">
        <v>41</v>
      </c>
      <c r="C598" s="24">
        <f t="shared" ref="C598:C604" si="236">E598+F598+G598</f>
        <v>0</v>
      </c>
      <c r="D598" s="30"/>
      <c r="E598" s="30"/>
      <c r="F598" s="30"/>
      <c r="G598" s="30"/>
      <c r="H598" s="31"/>
      <c r="I598" s="31"/>
      <c r="J598" s="31"/>
      <c r="K598" s="31"/>
      <c r="L598" s="24">
        <f t="shared" ref="L598:L604" si="237">N598+O598+P598</f>
        <v>0</v>
      </c>
      <c r="M598" s="30"/>
      <c r="N598" s="30"/>
      <c r="O598" s="30"/>
      <c r="P598" s="30"/>
    </row>
    <row r="599" spans="1:16" s="1" customFormat="1">
      <c r="A599" s="28"/>
      <c r="B599" s="39" t="s">
        <v>42</v>
      </c>
      <c r="C599" s="24">
        <f t="shared" si="236"/>
        <v>0</v>
      </c>
      <c r="D599" s="30"/>
      <c r="E599" s="30"/>
      <c r="F599" s="30"/>
      <c r="G599" s="30"/>
      <c r="H599" s="31"/>
      <c r="I599" s="31"/>
      <c r="J599" s="31"/>
      <c r="K599" s="31"/>
      <c r="L599" s="24">
        <f t="shared" si="237"/>
        <v>0</v>
      </c>
      <c r="M599" s="30"/>
      <c r="N599" s="30"/>
      <c r="O599" s="30"/>
      <c r="P599" s="30"/>
    </row>
    <row r="600" spans="1:16" s="1" customFormat="1">
      <c r="A600" s="28"/>
      <c r="B600" s="39" t="s">
        <v>43</v>
      </c>
      <c r="C600" s="24">
        <f t="shared" si="236"/>
        <v>0</v>
      </c>
      <c r="D600" s="30"/>
      <c r="E600" s="30"/>
      <c r="F600" s="30"/>
      <c r="G600" s="30"/>
      <c r="H600" s="31"/>
      <c r="I600" s="31"/>
      <c r="J600" s="31"/>
      <c r="K600" s="31"/>
      <c r="L600" s="24">
        <f t="shared" si="237"/>
        <v>0</v>
      </c>
      <c r="M600" s="30"/>
      <c r="N600" s="30"/>
      <c r="O600" s="30"/>
      <c r="P600" s="30"/>
    </row>
    <row r="601" spans="1:16" s="1" customFormat="1">
      <c r="A601" s="28"/>
      <c r="B601" s="39" t="s">
        <v>44</v>
      </c>
      <c r="C601" s="24">
        <f t="shared" si="236"/>
        <v>109508.21999999999</v>
      </c>
      <c r="D601" s="30">
        <f>19342.6</f>
        <v>19342.599999999999</v>
      </c>
      <c r="E601" s="30">
        <f>189</f>
        <v>189</v>
      </c>
      <c r="F601" s="30">
        <f>41451.27+47674.15+1910.4+1500+9695.4+7088</f>
        <v>109319.21999999999</v>
      </c>
      <c r="G601" s="30"/>
      <c r="H601" s="31"/>
      <c r="I601" s="31"/>
      <c r="J601" s="31"/>
      <c r="K601" s="31"/>
      <c r="L601" s="24">
        <f t="shared" si="237"/>
        <v>0</v>
      </c>
      <c r="M601" s="30">
        <f>19342.6</f>
        <v>19342.599999999999</v>
      </c>
      <c r="N601" s="30"/>
      <c r="O601" s="30"/>
      <c r="P601" s="30"/>
    </row>
    <row r="602" spans="1:16" s="1" customFormat="1">
      <c r="A602" s="28"/>
      <c r="B602" s="39" t="s">
        <v>45</v>
      </c>
      <c r="C602" s="24">
        <f t="shared" si="236"/>
        <v>0</v>
      </c>
      <c r="D602" s="30"/>
      <c r="E602" s="30"/>
      <c r="F602" s="30"/>
      <c r="G602" s="30"/>
      <c r="H602" s="31"/>
      <c r="I602" s="31"/>
      <c r="J602" s="31"/>
      <c r="K602" s="31"/>
      <c r="L602" s="24">
        <f t="shared" si="237"/>
        <v>0</v>
      </c>
      <c r="M602" s="30"/>
      <c r="N602" s="30"/>
      <c r="O602" s="30"/>
      <c r="P602" s="30"/>
    </row>
    <row r="603" spans="1:16" s="1" customFormat="1" ht="30">
      <c r="A603" s="28"/>
      <c r="B603" s="39" t="s">
        <v>46</v>
      </c>
      <c r="C603" s="24">
        <f t="shared" si="236"/>
        <v>0</v>
      </c>
      <c r="D603" s="30"/>
      <c r="E603" s="30"/>
      <c r="F603" s="30"/>
      <c r="G603" s="30"/>
      <c r="H603" s="31"/>
      <c r="I603" s="31"/>
      <c r="J603" s="31"/>
      <c r="K603" s="31"/>
      <c r="L603" s="24">
        <f t="shared" si="237"/>
        <v>0</v>
      </c>
      <c r="M603" s="30"/>
      <c r="N603" s="30"/>
      <c r="O603" s="30"/>
      <c r="P603" s="30"/>
    </row>
    <row r="604" spans="1:16" s="1" customFormat="1">
      <c r="A604" s="28"/>
      <c r="B604" s="39" t="s">
        <v>47</v>
      </c>
      <c r="C604" s="24">
        <f t="shared" si="236"/>
        <v>0</v>
      </c>
      <c r="D604" s="30">
        <v>3716.14</v>
      </c>
      <c r="E604" s="30"/>
      <c r="F604" s="30"/>
      <c r="G604" s="30"/>
      <c r="H604" s="31"/>
      <c r="I604" s="31"/>
      <c r="J604" s="31"/>
      <c r="K604" s="31"/>
      <c r="L604" s="24">
        <f t="shared" si="237"/>
        <v>0</v>
      </c>
      <c r="M604" s="30">
        <v>3716.14</v>
      </c>
      <c r="N604" s="30"/>
      <c r="O604" s="30"/>
      <c r="P604" s="30"/>
    </row>
    <row r="605" spans="1:16" s="1" customFormat="1" ht="36.75" customHeight="1">
      <c r="A605" s="211" t="s">
        <v>3</v>
      </c>
      <c r="B605" s="213" t="s">
        <v>4</v>
      </c>
      <c r="C605" s="213" t="s">
        <v>5</v>
      </c>
      <c r="D605" s="10" t="s">
        <v>6</v>
      </c>
      <c r="E605" s="215" t="s">
        <v>7</v>
      </c>
      <c r="F605" s="216"/>
      <c r="G605" s="217"/>
      <c r="H605" s="218" t="s">
        <v>8</v>
      </c>
      <c r="I605" s="218"/>
      <c r="J605" s="218"/>
      <c r="K605" s="11"/>
      <c r="L605" s="219" t="s">
        <v>9</v>
      </c>
      <c r="M605" s="12" t="s">
        <v>6</v>
      </c>
      <c r="N605" s="208" t="s">
        <v>10</v>
      </c>
      <c r="O605" s="209"/>
      <c r="P605" s="210"/>
    </row>
    <row r="606" spans="1:16" s="1" customFormat="1" ht="47.25" customHeight="1">
      <c r="A606" s="212"/>
      <c r="B606" s="214"/>
      <c r="C606" s="214"/>
      <c r="D606" s="13" t="s">
        <v>11</v>
      </c>
      <c r="E606" s="13" t="s">
        <v>12</v>
      </c>
      <c r="F606" s="13" t="s">
        <v>13</v>
      </c>
      <c r="G606" s="13" t="s">
        <v>14</v>
      </c>
      <c r="H606" s="14" t="s">
        <v>15</v>
      </c>
      <c r="I606" s="14" t="s">
        <v>16</v>
      </c>
      <c r="J606" s="14" t="s">
        <v>17</v>
      </c>
      <c r="K606" s="14" t="s">
        <v>18</v>
      </c>
      <c r="L606" s="220"/>
      <c r="M606" s="15" t="s">
        <v>11</v>
      </c>
      <c r="N606" s="15" t="s">
        <v>12</v>
      </c>
      <c r="O606" s="15" t="s">
        <v>13</v>
      </c>
      <c r="P606" s="15" t="s">
        <v>14</v>
      </c>
    </row>
    <row r="607" spans="1:16" s="1" customFormat="1">
      <c r="A607" s="45">
        <v>21</v>
      </c>
      <c r="B607" s="67" t="s">
        <v>67</v>
      </c>
      <c r="C607" s="46">
        <f t="shared" ref="C607:G607" si="238">C608+C609+C610+C611+C612+C613+C614+C615+C620+C621+C622+C623+C624+C625+C626+C627</f>
        <v>429937.28</v>
      </c>
      <c r="D607" s="46">
        <f t="shared" si="238"/>
        <v>818092.99</v>
      </c>
      <c r="E607" s="46">
        <f t="shared" si="238"/>
        <v>742.59</v>
      </c>
      <c r="F607" s="46">
        <f t="shared" si="238"/>
        <v>429194.69</v>
      </c>
      <c r="G607" s="46">
        <f t="shared" si="238"/>
        <v>0</v>
      </c>
      <c r="H607" s="57"/>
      <c r="I607" s="58"/>
      <c r="J607" s="58"/>
      <c r="K607" s="11"/>
      <c r="L607" s="46">
        <f t="shared" ref="L607:P607" si="239">L608+L609+L610+L611+L612+L613+L614+L615+L620+L621+L622+L623+L624+L625+L626+L627</f>
        <v>0</v>
      </c>
      <c r="M607" s="46">
        <f t="shared" si="239"/>
        <v>818092.99</v>
      </c>
      <c r="N607" s="46">
        <f t="shared" si="239"/>
        <v>0</v>
      </c>
      <c r="O607" s="46">
        <f t="shared" si="239"/>
        <v>0</v>
      </c>
      <c r="P607" s="46">
        <f t="shared" si="239"/>
        <v>0</v>
      </c>
    </row>
    <row r="608" spans="1:16" s="5" customFormat="1">
      <c r="A608" s="22"/>
      <c r="B608" s="59" t="s">
        <v>20</v>
      </c>
      <c r="C608" s="24">
        <f t="shared" ref="C608:C614" si="240">E608+F608+G608</f>
        <v>429194.69</v>
      </c>
      <c r="D608" s="25"/>
      <c r="E608" s="25"/>
      <c r="F608" s="24">
        <v>429194.69</v>
      </c>
      <c r="G608" s="25"/>
      <c r="H608" s="60"/>
      <c r="I608" s="61"/>
      <c r="J608" s="61"/>
      <c r="K608" s="27"/>
      <c r="L608" s="24">
        <f t="shared" ref="L608:L614" si="241">N608+O608+P608</f>
        <v>0</v>
      </c>
      <c r="M608" s="25"/>
      <c r="N608" s="25"/>
      <c r="O608" s="24"/>
      <c r="P608" s="25"/>
    </row>
    <row r="609" spans="1:16" s="1" customFormat="1">
      <c r="A609" s="28"/>
      <c r="B609" s="29" t="s">
        <v>21</v>
      </c>
      <c r="C609" s="24">
        <f t="shared" si="240"/>
        <v>0</v>
      </c>
      <c r="D609" s="30"/>
      <c r="E609" s="30"/>
      <c r="F609" s="30"/>
      <c r="G609" s="30"/>
      <c r="H609" s="31"/>
      <c r="I609" s="31"/>
      <c r="J609" s="31"/>
      <c r="K609" s="31"/>
      <c r="L609" s="24">
        <f t="shared" si="241"/>
        <v>0</v>
      </c>
      <c r="M609" s="30"/>
      <c r="N609" s="30"/>
      <c r="O609" s="30"/>
      <c r="P609" s="30"/>
    </row>
    <row r="610" spans="1:16" s="1" customFormat="1">
      <c r="A610" s="28"/>
      <c r="B610" s="32" t="s">
        <v>22</v>
      </c>
      <c r="C610" s="24">
        <f t="shared" si="240"/>
        <v>0</v>
      </c>
      <c r="D610" s="30"/>
      <c r="E610" s="30"/>
      <c r="F610" s="30"/>
      <c r="G610" s="30"/>
      <c r="H610" s="31"/>
      <c r="I610" s="31"/>
      <c r="J610" s="31"/>
      <c r="K610" s="31"/>
      <c r="L610" s="24">
        <f t="shared" si="241"/>
        <v>0</v>
      </c>
      <c r="M610" s="30"/>
      <c r="N610" s="30"/>
      <c r="O610" s="30"/>
      <c r="P610" s="30"/>
    </row>
    <row r="611" spans="1:16" s="1" customFormat="1">
      <c r="A611" s="28"/>
      <c r="B611" s="32" t="s">
        <v>23</v>
      </c>
      <c r="C611" s="24">
        <f t="shared" si="240"/>
        <v>0</v>
      </c>
      <c r="D611" s="30">
        <v>47476.73</v>
      </c>
      <c r="E611" s="30"/>
      <c r="F611" s="30"/>
      <c r="G611" s="30"/>
      <c r="H611" s="31"/>
      <c r="I611" s="31"/>
      <c r="J611" s="31"/>
      <c r="K611" s="31"/>
      <c r="L611" s="24">
        <f t="shared" si="241"/>
        <v>0</v>
      </c>
      <c r="M611" s="30">
        <v>47476.73</v>
      </c>
      <c r="N611" s="30"/>
      <c r="O611" s="30"/>
      <c r="P611" s="30"/>
    </row>
    <row r="612" spans="1:16" s="1" customFormat="1">
      <c r="A612" s="28"/>
      <c r="B612" s="29" t="s">
        <v>24</v>
      </c>
      <c r="C612" s="24">
        <f t="shared" si="240"/>
        <v>0</v>
      </c>
      <c r="D612" s="30">
        <f>2730.46</f>
        <v>2730.46</v>
      </c>
      <c r="E612" s="30"/>
      <c r="F612" s="30"/>
      <c r="G612" s="30"/>
      <c r="H612" s="31"/>
      <c r="I612" s="31"/>
      <c r="J612" s="31"/>
      <c r="K612" s="31"/>
      <c r="L612" s="24">
        <f t="shared" si="241"/>
        <v>0</v>
      </c>
      <c r="M612" s="30">
        <f>2730.46</f>
        <v>2730.46</v>
      </c>
      <c r="N612" s="30"/>
      <c r="O612" s="30"/>
      <c r="P612" s="30"/>
    </row>
    <row r="613" spans="1:16" s="1" customFormat="1">
      <c r="A613" s="28"/>
      <c r="B613" s="34" t="s">
        <v>25</v>
      </c>
      <c r="C613" s="24">
        <f t="shared" si="240"/>
        <v>0</v>
      </c>
      <c r="D613" s="30">
        <f>8138+3398.64</f>
        <v>11536.64</v>
      </c>
      <c r="E613" s="30"/>
      <c r="F613" s="30"/>
      <c r="G613" s="30"/>
      <c r="H613" s="31"/>
      <c r="I613" s="31"/>
      <c r="J613" s="31"/>
      <c r="K613" s="31"/>
      <c r="L613" s="24">
        <f t="shared" si="241"/>
        <v>0</v>
      </c>
      <c r="M613" s="30">
        <f>8138+3398.64</f>
        <v>11536.64</v>
      </c>
      <c r="N613" s="30"/>
      <c r="O613" s="30"/>
      <c r="P613" s="30"/>
    </row>
    <row r="614" spans="1:16" s="1" customFormat="1">
      <c r="A614" s="28"/>
      <c r="B614" s="32" t="s">
        <v>26</v>
      </c>
      <c r="C614" s="24">
        <f t="shared" si="240"/>
        <v>0</v>
      </c>
      <c r="D614" s="30"/>
      <c r="E614" s="30"/>
      <c r="F614" s="30"/>
      <c r="G614" s="30"/>
      <c r="H614" s="31"/>
      <c r="I614" s="31"/>
      <c r="J614" s="31"/>
      <c r="K614" s="31"/>
      <c r="L614" s="24">
        <f t="shared" si="241"/>
        <v>0</v>
      </c>
      <c r="M614" s="30"/>
      <c r="N614" s="30"/>
      <c r="O614" s="30"/>
      <c r="P614" s="30"/>
    </row>
    <row r="615" spans="1:16" s="1" customFormat="1" ht="30">
      <c r="A615" s="28"/>
      <c r="B615" s="35" t="s">
        <v>27</v>
      </c>
      <c r="C615" s="36">
        <f t="shared" ref="C615:G615" si="242">SUM(C616:C619)</f>
        <v>742.59</v>
      </c>
      <c r="D615" s="36">
        <f t="shared" si="242"/>
        <v>241622.16</v>
      </c>
      <c r="E615" s="36">
        <f t="shared" si="242"/>
        <v>742.59</v>
      </c>
      <c r="F615" s="36">
        <f t="shared" si="242"/>
        <v>0</v>
      </c>
      <c r="G615" s="36">
        <f t="shared" si="242"/>
        <v>0</v>
      </c>
      <c r="H615" s="31"/>
      <c r="I615" s="31"/>
      <c r="J615" s="31"/>
      <c r="K615" s="31"/>
      <c r="L615" s="36">
        <f t="shared" ref="L615:P615" si="243">SUM(L616:L619)</f>
        <v>0</v>
      </c>
      <c r="M615" s="36">
        <f t="shared" si="243"/>
        <v>241622.16</v>
      </c>
      <c r="N615" s="36">
        <f t="shared" si="243"/>
        <v>0</v>
      </c>
      <c r="O615" s="36">
        <f t="shared" si="243"/>
        <v>0</v>
      </c>
      <c r="P615" s="36">
        <f t="shared" si="243"/>
        <v>0</v>
      </c>
    </row>
    <row r="616" spans="1:16" s="1" customFormat="1">
      <c r="A616" s="28"/>
      <c r="B616" s="38" t="s">
        <v>28</v>
      </c>
      <c r="C616" s="24">
        <f t="shared" ref="C616:C626" si="244">E616+F616+G616</f>
        <v>0</v>
      </c>
      <c r="D616" s="30">
        <v>151730.16</v>
      </c>
      <c r="E616" s="30"/>
      <c r="F616" s="30"/>
      <c r="G616" s="30"/>
      <c r="H616" s="31"/>
      <c r="I616" s="31"/>
      <c r="J616" s="31"/>
      <c r="K616" s="31"/>
      <c r="L616" s="24">
        <f t="shared" ref="L616:L626" si="245">N616+O616+P616</f>
        <v>0</v>
      </c>
      <c r="M616" s="30">
        <v>151730.16</v>
      </c>
      <c r="N616" s="30"/>
      <c r="O616" s="30"/>
      <c r="P616" s="30"/>
    </row>
    <row r="617" spans="1:16" s="1" customFormat="1">
      <c r="A617" s="28"/>
      <c r="B617" s="38" t="s">
        <v>29</v>
      </c>
      <c r="C617" s="24">
        <f t="shared" si="244"/>
        <v>0</v>
      </c>
      <c r="D617" s="30">
        <v>31192</v>
      </c>
      <c r="E617" s="30"/>
      <c r="F617" s="30"/>
      <c r="G617" s="30"/>
      <c r="H617" s="31"/>
      <c r="I617" s="31"/>
      <c r="J617" s="31"/>
      <c r="K617" s="31"/>
      <c r="L617" s="24">
        <f t="shared" si="245"/>
        <v>0</v>
      </c>
      <c r="M617" s="30">
        <v>31192</v>
      </c>
      <c r="N617" s="30"/>
      <c r="O617" s="30"/>
      <c r="P617" s="30"/>
    </row>
    <row r="618" spans="1:16" s="1" customFormat="1">
      <c r="A618" s="28"/>
      <c r="B618" s="38" t="s">
        <v>30</v>
      </c>
      <c r="C618" s="24">
        <f t="shared" si="244"/>
        <v>742.59</v>
      </c>
      <c r="D618" s="30"/>
      <c r="E618" s="30">
        <v>742.59</v>
      </c>
      <c r="F618" s="30"/>
      <c r="G618" s="30"/>
      <c r="H618" s="31"/>
      <c r="I618" s="31"/>
      <c r="J618" s="31"/>
      <c r="K618" s="31"/>
      <c r="L618" s="24">
        <f t="shared" si="245"/>
        <v>0</v>
      </c>
      <c r="M618" s="30"/>
      <c r="N618" s="30"/>
      <c r="O618" s="30"/>
      <c r="P618" s="30"/>
    </row>
    <row r="619" spans="1:16" s="1" customFormat="1">
      <c r="A619" s="28"/>
      <c r="B619" s="38" t="s">
        <v>31</v>
      </c>
      <c r="C619" s="24">
        <f t="shared" si="244"/>
        <v>0</v>
      </c>
      <c r="D619" s="30">
        <v>58700</v>
      </c>
      <c r="E619" s="30"/>
      <c r="F619" s="30"/>
      <c r="G619" s="30"/>
      <c r="H619" s="31"/>
      <c r="I619" s="31"/>
      <c r="J619" s="31"/>
      <c r="K619" s="31"/>
      <c r="L619" s="24">
        <f t="shared" si="245"/>
        <v>0</v>
      </c>
      <c r="M619" s="30">
        <v>58700</v>
      </c>
      <c r="N619" s="30"/>
      <c r="O619" s="30"/>
      <c r="P619" s="30"/>
    </row>
    <row r="620" spans="1:16" s="1" customFormat="1" ht="30">
      <c r="A620" s="28"/>
      <c r="B620" s="39" t="s">
        <v>32</v>
      </c>
      <c r="C620" s="24">
        <f t="shared" si="244"/>
        <v>0</v>
      </c>
      <c r="D620" s="30"/>
      <c r="E620" s="30"/>
      <c r="F620" s="30"/>
      <c r="G620" s="30"/>
      <c r="H620" s="31"/>
      <c r="I620" s="31"/>
      <c r="J620" s="31"/>
      <c r="K620" s="31"/>
      <c r="L620" s="24">
        <f t="shared" si="245"/>
        <v>0</v>
      </c>
      <c r="M620" s="30"/>
      <c r="N620" s="30"/>
      <c r="O620" s="30"/>
      <c r="P620" s="30"/>
    </row>
    <row r="621" spans="1:16" s="1" customFormat="1" ht="30">
      <c r="A621" s="28"/>
      <c r="B621" s="39" t="s">
        <v>33</v>
      </c>
      <c r="C621" s="24">
        <f t="shared" si="244"/>
        <v>0</v>
      </c>
      <c r="D621" s="30">
        <f>36911.31+3401.5</f>
        <v>40312.81</v>
      </c>
      <c r="E621" s="30"/>
      <c r="F621" s="30"/>
      <c r="G621" s="30"/>
      <c r="H621" s="31"/>
      <c r="I621" s="31"/>
      <c r="J621" s="31"/>
      <c r="K621" s="31"/>
      <c r="L621" s="24">
        <f t="shared" si="245"/>
        <v>0</v>
      </c>
      <c r="M621" s="30">
        <f>36911.31+3401.5</f>
        <v>40312.81</v>
      </c>
      <c r="N621" s="30"/>
      <c r="O621" s="30"/>
      <c r="P621" s="30"/>
    </row>
    <row r="622" spans="1:16" s="1" customFormat="1" ht="30">
      <c r="A622" s="28"/>
      <c r="B622" s="40" t="s">
        <v>34</v>
      </c>
      <c r="C622" s="24">
        <f t="shared" si="244"/>
        <v>0</v>
      </c>
      <c r="D622" s="30"/>
      <c r="E622" s="30"/>
      <c r="F622" s="30"/>
      <c r="G622" s="30"/>
      <c r="H622" s="31"/>
      <c r="I622" s="31"/>
      <c r="J622" s="31"/>
      <c r="K622" s="31"/>
      <c r="L622" s="24">
        <f t="shared" si="245"/>
        <v>0</v>
      </c>
      <c r="M622" s="30"/>
      <c r="N622" s="30"/>
      <c r="O622" s="30"/>
      <c r="P622" s="30"/>
    </row>
    <row r="623" spans="1:16" s="1" customFormat="1">
      <c r="A623" s="28"/>
      <c r="B623" s="40" t="s">
        <v>35</v>
      </c>
      <c r="C623" s="24">
        <f t="shared" si="244"/>
        <v>0</v>
      </c>
      <c r="D623" s="30">
        <f>2920+21600</f>
        <v>24520</v>
      </c>
      <c r="E623" s="30"/>
      <c r="F623" s="30"/>
      <c r="G623" s="30"/>
      <c r="H623" s="31"/>
      <c r="I623" s="31"/>
      <c r="J623" s="31"/>
      <c r="K623" s="31"/>
      <c r="L623" s="24">
        <f t="shared" si="245"/>
        <v>0</v>
      </c>
      <c r="M623" s="30">
        <f>2920+21600</f>
        <v>24520</v>
      </c>
      <c r="N623" s="30"/>
      <c r="O623" s="30"/>
      <c r="P623" s="30"/>
    </row>
    <row r="624" spans="1:16" s="1" customFormat="1" ht="30">
      <c r="A624" s="28"/>
      <c r="B624" s="41" t="s">
        <v>36</v>
      </c>
      <c r="C624" s="24">
        <f t="shared" si="244"/>
        <v>0</v>
      </c>
      <c r="D624" s="30"/>
      <c r="E624" s="30"/>
      <c r="F624" s="30"/>
      <c r="G624" s="30"/>
      <c r="H624" s="31"/>
      <c r="I624" s="31"/>
      <c r="J624" s="31"/>
      <c r="K624" s="31"/>
      <c r="L624" s="24">
        <f t="shared" si="245"/>
        <v>0</v>
      </c>
      <c r="M624" s="30"/>
      <c r="N624" s="30"/>
      <c r="O624" s="30"/>
      <c r="P624" s="30"/>
    </row>
    <row r="625" spans="1:16" s="1" customFormat="1">
      <c r="A625" s="28"/>
      <c r="B625" s="42" t="s">
        <v>37</v>
      </c>
      <c r="C625" s="24">
        <f t="shared" si="244"/>
        <v>0</v>
      </c>
      <c r="D625" s="30"/>
      <c r="E625" s="30"/>
      <c r="F625" s="30"/>
      <c r="G625" s="30"/>
      <c r="H625" s="31"/>
      <c r="I625" s="31"/>
      <c r="J625" s="31"/>
      <c r="K625" s="31"/>
      <c r="L625" s="24">
        <f t="shared" si="245"/>
        <v>0</v>
      </c>
      <c r="M625" s="30"/>
      <c r="N625" s="30"/>
      <c r="O625" s="30"/>
      <c r="P625" s="30"/>
    </row>
    <row r="626" spans="1:16" s="1" customFormat="1" ht="30">
      <c r="A626" s="28"/>
      <c r="B626" s="42" t="s">
        <v>38</v>
      </c>
      <c r="C626" s="24">
        <f t="shared" si="244"/>
        <v>0</v>
      </c>
      <c r="D626" s="30">
        <v>244451.3</v>
      </c>
      <c r="E626" s="30"/>
      <c r="F626" s="30"/>
      <c r="G626" s="30"/>
      <c r="H626" s="31"/>
      <c r="I626" s="31"/>
      <c r="J626" s="31"/>
      <c r="K626" s="31"/>
      <c r="L626" s="24">
        <f t="shared" si="245"/>
        <v>0</v>
      </c>
      <c r="M626" s="30">
        <v>244451.3</v>
      </c>
      <c r="N626" s="30"/>
      <c r="O626" s="30"/>
      <c r="P626" s="30"/>
    </row>
    <row r="627" spans="1:16" s="1" customFormat="1" ht="30">
      <c r="A627" s="28"/>
      <c r="B627" s="43" t="s">
        <v>39</v>
      </c>
      <c r="C627" s="36">
        <f t="shared" ref="C627:G627" si="246">SUM(C628:C634)</f>
        <v>0</v>
      </c>
      <c r="D627" s="36">
        <f t="shared" si="246"/>
        <v>205442.88999999998</v>
      </c>
      <c r="E627" s="36">
        <f t="shared" si="246"/>
        <v>0</v>
      </c>
      <c r="F627" s="36">
        <f t="shared" si="246"/>
        <v>0</v>
      </c>
      <c r="G627" s="36">
        <f t="shared" si="246"/>
        <v>0</v>
      </c>
      <c r="H627" s="31"/>
      <c r="I627" s="31"/>
      <c r="J627" s="31"/>
      <c r="K627" s="31"/>
      <c r="L627" s="36">
        <f t="shared" ref="L627:P627" si="247">SUM(L628:L634)</f>
        <v>0</v>
      </c>
      <c r="M627" s="36">
        <f t="shared" si="247"/>
        <v>205442.88999999998</v>
      </c>
      <c r="N627" s="36">
        <f t="shared" si="247"/>
        <v>0</v>
      </c>
      <c r="O627" s="36">
        <f t="shared" si="247"/>
        <v>0</v>
      </c>
      <c r="P627" s="36">
        <f t="shared" si="247"/>
        <v>0</v>
      </c>
    </row>
    <row r="628" spans="1:16" s="1" customFormat="1" ht="30">
      <c r="A628" s="28" t="s">
        <v>40</v>
      </c>
      <c r="B628" s="39" t="s">
        <v>41</v>
      </c>
      <c r="C628" s="24">
        <f t="shared" ref="C628:C634" si="248">E628+F628+G628</f>
        <v>0</v>
      </c>
      <c r="D628" s="30">
        <f>8200+2678+8000</f>
        <v>18878</v>
      </c>
      <c r="E628" s="30"/>
      <c r="F628" s="30"/>
      <c r="G628" s="30"/>
      <c r="H628" s="31"/>
      <c r="I628" s="31"/>
      <c r="J628" s="31"/>
      <c r="K628" s="31"/>
      <c r="L628" s="24">
        <f t="shared" ref="L628:L634" si="249">N628+O628+P628</f>
        <v>0</v>
      </c>
      <c r="M628" s="30">
        <f>8200+2678+8000</f>
        <v>18878</v>
      </c>
      <c r="N628" s="30"/>
      <c r="O628" s="30"/>
      <c r="P628" s="30"/>
    </row>
    <row r="629" spans="1:16" s="1" customFormat="1">
      <c r="A629" s="28"/>
      <c r="B629" s="39" t="s">
        <v>42</v>
      </c>
      <c r="C629" s="24">
        <f t="shared" si="248"/>
        <v>0</v>
      </c>
      <c r="D629" s="30">
        <v>62967.24</v>
      </c>
      <c r="E629" s="30"/>
      <c r="F629" s="30"/>
      <c r="G629" s="30"/>
      <c r="H629" s="31"/>
      <c r="I629" s="31"/>
      <c r="J629" s="31"/>
      <c r="K629" s="31"/>
      <c r="L629" s="24">
        <f t="shared" si="249"/>
        <v>0</v>
      </c>
      <c r="M629" s="30">
        <v>62967.24</v>
      </c>
      <c r="N629" s="30"/>
      <c r="O629" s="30"/>
      <c r="P629" s="30"/>
    </row>
    <row r="630" spans="1:16" s="1" customFormat="1">
      <c r="A630" s="28"/>
      <c r="B630" s="39" t="s">
        <v>43</v>
      </c>
      <c r="C630" s="24">
        <f t="shared" si="248"/>
        <v>0</v>
      </c>
      <c r="D630" s="30"/>
      <c r="E630" s="30"/>
      <c r="F630" s="30"/>
      <c r="G630" s="30"/>
      <c r="H630" s="31"/>
      <c r="I630" s="31"/>
      <c r="J630" s="31"/>
      <c r="K630" s="31"/>
      <c r="L630" s="24">
        <f t="shared" si="249"/>
        <v>0</v>
      </c>
      <c r="M630" s="30"/>
      <c r="N630" s="30"/>
      <c r="O630" s="30"/>
      <c r="P630" s="30"/>
    </row>
    <row r="631" spans="1:16" s="1" customFormat="1">
      <c r="A631" s="28"/>
      <c r="B631" s="39" t="s">
        <v>44</v>
      </c>
      <c r="C631" s="24">
        <f t="shared" si="248"/>
        <v>0</v>
      </c>
      <c r="D631" s="30">
        <f>3397.65+99900</f>
        <v>103297.65</v>
      </c>
      <c r="E631" s="30"/>
      <c r="F631" s="30"/>
      <c r="G631" s="30"/>
      <c r="H631" s="31"/>
      <c r="I631" s="31"/>
      <c r="J631" s="31"/>
      <c r="K631" s="31"/>
      <c r="L631" s="24">
        <f t="shared" si="249"/>
        <v>0</v>
      </c>
      <c r="M631" s="30">
        <f>3397.65+99900</f>
        <v>103297.65</v>
      </c>
      <c r="N631" s="30"/>
      <c r="O631" s="30"/>
      <c r="P631" s="30"/>
    </row>
    <row r="632" spans="1:16" s="1" customFormat="1">
      <c r="A632" s="28"/>
      <c r="B632" s="39" t="s">
        <v>45</v>
      </c>
      <c r="C632" s="24">
        <f t="shared" si="248"/>
        <v>0</v>
      </c>
      <c r="D632" s="30"/>
      <c r="E632" s="30"/>
      <c r="F632" s="30"/>
      <c r="G632" s="30"/>
      <c r="H632" s="31"/>
      <c r="I632" s="31"/>
      <c r="J632" s="31"/>
      <c r="K632" s="31"/>
      <c r="L632" s="24">
        <f t="shared" si="249"/>
        <v>0</v>
      </c>
      <c r="M632" s="30"/>
      <c r="N632" s="30"/>
      <c r="O632" s="30"/>
      <c r="P632" s="30"/>
    </row>
    <row r="633" spans="1:16" s="1" customFormat="1" ht="30">
      <c r="A633" s="28"/>
      <c r="B633" s="39" t="s">
        <v>46</v>
      </c>
      <c r="C633" s="24">
        <f t="shared" si="248"/>
        <v>0</v>
      </c>
      <c r="D633" s="30"/>
      <c r="E633" s="30"/>
      <c r="F633" s="30"/>
      <c r="G633" s="30"/>
      <c r="H633" s="31"/>
      <c r="I633" s="31"/>
      <c r="J633" s="31"/>
      <c r="K633" s="31"/>
      <c r="L633" s="24">
        <f t="shared" si="249"/>
        <v>0</v>
      </c>
      <c r="M633" s="30"/>
      <c r="N633" s="30"/>
      <c r="O633" s="30"/>
      <c r="P633" s="30"/>
    </row>
    <row r="634" spans="1:16" s="1" customFormat="1">
      <c r="A634" s="28"/>
      <c r="B634" s="39" t="s">
        <v>47</v>
      </c>
      <c r="C634" s="24">
        <f t="shared" si="248"/>
        <v>0</v>
      </c>
      <c r="D634" s="30">
        <f>3679+613+170+15838</f>
        <v>20300</v>
      </c>
      <c r="E634" s="30"/>
      <c r="F634" s="30"/>
      <c r="G634" s="30"/>
      <c r="H634" s="31"/>
      <c r="I634" s="31"/>
      <c r="J634" s="31"/>
      <c r="K634" s="31"/>
      <c r="L634" s="24">
        <f t="shared" si="249"/>
        <v>0</v>
      </c>
      <c r="M634" s="30">
        <f>3679+613+170+15838</f>
        <v>20300</v>
      </c>
      <c r="N634" s="30"/>
      <c r="O634" s="30"/>
      <c r="P634" s="30"/>
    </row>
    <row r="635" spans="1:16" s="1" customFormat="1" ht="36.75" customHeight="1">
      <c r="A635" s="211" t="s">
        <v>3</v>
      </c>
      <c r="B635" s="213" t="s">
        <v>4</v>
      </c>
      <c r="C635" s="213" t="s">
        <v>5</v>
      </c>
      <c r="D635" s="10" t="s">
        <v>6</v>
      </c>
      <c r="E635" s="215" t="s">
        <v>7</v>
      </c>
      <c r="F635" s="216"/>
      <c r="G635" s="217"/>
      <c r="H635" s="218" t="s">
        <v>8</v>
      </c>
      <c r="I635" s="218"/>
      <c r="J635" s="218"/>
      <c r="K635" s="11"/>
      <c r="L635" s="219" t="s">
        <v>9</v>
      </c>
      <c r="M635" s="12" t="s">
        <v>6</v>
      </c>
      <c r="N635" s="208" t="s">
        <v>10</v>
      </c>
      <c r="O635" s="209"/>
      <c r="P635" s="210"/>
    </row>
    <row r="636" spans="1:16" s="1" customFormat="1" ht="47.25" customHeight="1">
      <c r="A636" s="212"/>
      <c r="B636" s="214"/>
      <c r="C636" s="214"/>
      <c r="D636" s="13" t="s">
        <v>11</v>
      </c>
      <c r="E636" s="13" t="s">
        <v>12</v>
      </c>
      <c r="F636" s="13" t="s">
        <v>13</v>
      </c>
      <c r="G636" s="13" t="s">
        <v>14</v>
      </c>
      <c r="H636" s="14" t="s">
        <v>15</v>
      </c>
      <c r="I636" s="14" t="s">
        <v>16</v>
      </c>
      <c r="J636" s="14" t="s">
        <v>17</v>
      </c>
      <c r="K636" s="14" t="s">
        <v>18</v>
      </c>
      <c r="L636" s="220"/>
      <c r="M636" s="15" t="s">
        <v>11</v>
      </c>
      <c r="N636" s="15" t="s">
        <v>12</v>
      </c>
      <c r="O636" s="15" t="s">
        <v>13</v>
      </c>
      <c r="P636" s="15" t="s">
        <v>14</v>
      </c>
    </row>
    <row r="637" spans="1:16" s="1" customFormat="1">
      <c r="A637" s="68"/>
      <c r="B637" s="69" t="s">
        <v>68</v>
      </c>
      <c r="C637" s="70">
        <f t="shared" ref="C637:G637" si="250">C638+C639+C640+C641+C642+C643+C644+C645+C650+C651+C652+C653+C654+C655+C656+C657</f>
        <v>28244861.879999999</v>
      </c>
      <c r="D637" s="70">
        <f t="shared" si="250"/>
        <v>21340847.060000002</v>
      </c>
      <c r="E637" s="70">
        <f t="shared" si="250"/>
        <v>9266810.9199999999</v>
      </c>
      <c r="F637" s="70">
        <f t="shared" si="250"/>
        <v>12404979.969999999</v>
      </c>
      <c r="G637" s="70">
        <f t="shared" si="250"/>
        <v>6573070.9900000012</v>
      </c>
      <c r="H637" s="71">
        <f>H6+H36+H66+H96+H157+H187+H217+H247+H277+H307+H337+H367+H397+H427+H457+H487+H517+H547+H577+H607</f>
        <v>0</v>
      </c>
      <c r="I637" s="71">
        <f>I6+I36+I66+I96+I157+I187+I217+I247+I277+I307+I337+I367+I397+I427+I457+I487+I517+I547+I577+I607</f>
        <v>0</v>
      </c>
      <c r="J637" s="71">
        <f>J6+J36+J66+J96+J157+J187+J217+J247+J277+J307+J337+J367+J397+J427+J457+J487+J517+J547+J577+J607</f>
        <v>0</v>
      </c>
      <c r="K637" s="71">
        <f>K6+K36+K66+K96+K157+K187+K217+K247+K277+K307+K337+K367+K397+K427+K457+K487+K517+K547+K577+K607</f>
        <v>0</v>
      </c>
      <c r="L637" s="70">
        <f t="shared" ref="L637:P637" si="251">L638+L639+L640+L641+L642+L643+L644+L645+L650+L651+L652+L653+L654+L655+L656+L657</f>
        <v>0</v>
      </c>
      <c r="M637" s="70">
        <f t="shared" si="251"/>
        <v>21340847.060000002</v>
      </c>
      <c r="N637" s="70">
        <f t="shared" si="251"/>
        <v>0</v>
      </c>
      <c r="O637" s="70">
        <f t="shared" si="251"/>
        <v>0</v>
      </c>
      <c r="P637" s="70">
        <f t="shared" si="251"/>
        <v>0</v>
      </c>
    </row>
    <row r="638" spans="1:16" s="1" customFormat="1">
      <c r="A638" s="45"/>
      <c r="B638" s="72" t="s">
        <v>20</v>
      </c>
      <c r="C638" s="20">
        <f t="shared" ref="C638:G644" si="252">C7+C37+C67+C97+C127+C158+C188+C218+C248+C278+C308+C338+C368+C398+C428+C458+C488+C518+C548+C578+C608</f>
        <v>13495386.579999996</v>
      </c>
      <c r="D638" s="20">
        <f t="shared" si="252"/>
        <v>0</v>
      </c>
      <c r="E638" s="20">
        <f t="shared" si="252"/>
        <v>0</v>
      </c>
      <c r="F638" s="20">
        <f t="shared" si="252"/>
        <v>6922315.5900000008</v>
      </c>
      <c r="G638" s="20">
        <f t="shared" si="252"/>
        <v>6573070.9900000012</v>
      </c>
      <c r="H638" s="24"/>
      <c r="I638" s="24"/>
      <c r="J638" s="24"/>
      <c r="K638" s="24"/>
      <c r="L638" s="20">
        <f t="shared" ref="L638:P644" si="253">L7+L37+L67+L97+L127+L158+L188+L218+L248+L278+L308+L338+L368+L398+L428+L458+L488+L518+L548+L578+L608</f>
        <v>0</v>
      </c>
      <c r="M638" s="20">
        <f t="shared" si="253"/>
        <v>0</v>
      </c>
      <c r="N638" s="20">
        <f t="shared" si="253"/>
        <v>0</v>
      </c>
      <c r="O638" s="20">
        <f t="shared" si="253"/>
        <v>0</v>
      </c>
      <c r="P638" s="20">
        <f t="shared" si="253"/>
        <v>0</v>
      </c>
    </row>
    <row r="639" spans="1:16" s="1" customFormat="1">
      <c r="A639" s="48"/>
      <c r="B639" s="73" t="s">
        <v>21</v>
      </c>
      <c r="C639" s="20">
        <f t="shared" si="252"/>
        <v>719233.80999999994</v>
      </c>
      <c r="D639" s="20">
        <f t="shared" si="252"/>
        <v>769699.65999999992</v>
      </c>
      <c r="E639" s="20">
        <f t="shared" si="252"/>
        <v>671652.47</v>
      </c>
      <c r="F639" s="20">
        <f t="shared" si="252"/>
        <v>47581.34</v>
      </c>
      <c r="G639" s="20">
        <f t="shared" si="252"/>
        <v>0</v>
      </c>
      <c r="H639" s="31"/>
      <c r="I639" s="31"/>
      <c r="J639" s="31"/>
      <c r="K639" s="31"/>
      <c r="L639" s="20">
        <f t="shared" si="253"/>
        <v>0</v>
      </c>
      <c r="M639" s="20">
        <f t="shared" si="253"/>
        <v>769699.65999999992</v>
      </c>
      <c r="N639" s="20">
        <f t="shared" si="253"/>
        <v>0</v>
      </c>
      <c r="O639" s="20">
        <f t="shared" si="253"/>
        <v>0</v>
      </c>
      <c r="P639" s="20">
        <f t="shared" si="253"/>
        <v>0</v>
      </c>
    </row>
    <row r="640" spans="1:16" s="1" customFormat="1">
      <c r="A640" s="48"/>
      <c r="B640" s="73" t="s">
        <v>22</v>
      </c>
      <c r="C640" s="20">
        <f t="shared" si="252"/>
        <v>450</v>
      </c>
      <c r="D640" s="20">
        <f t="shared" si="252"/>
        <v>188690.94</v>
      </c>
      <c r="E640" s="20">
        <f t="shared" si="252"/>
        <v>450</v>
      </c>
      <c r="F640" s="20">
        <f t="shared" si="252"/>
        <v>0</v>
      </c>
      <c r="G640" s="20">
        <f t="shared" si="252"/>
        <v>0</v>
      </c>
      <c r="H640" s="31"/>
      <c r="I640" s="31"/>
      <c r="J640" s="31"/>
      <c r="K640" s="31"/>
      <c r="L640" s="20">
        <f t="shared" si="253"/>
        <v>0</v>
      </c>
      <c r="M640" s="20">
        <f t="shared" si="253"/>
        <v>188690.94</v>
      </c>
      <c r="N640" s="20">
        <f t="shared" si="253"/>
        <v>0</v>
      </c>
      <c r="O640" s="20">
        <f t="shared" si="253"/>
        <v>0</v>
      </c>
      <c r="P640" s="20">
        <f t="shared" si="253"/>
        <v>0</v>
      </c>
    </row>
    <row r="641" spans="1:16" s="1" customFormat="1">
      <c r="A641" s="48"/>
      <c r="B641" s="73" t="s">
        <v>23</v>
      </c>
      <c r="C641" s="20">
        <f t="shared" si="252"/>
        <v>536720.15</v>
      </c>
      <c r="D641" s="20">
        <f t="shared" si="252"/>
        <v>283681.12</v>
      </c>
      <c r="E641" s="20">
        <f t="shared" si="252"/>
        <v>536720.15</v>
      </c>
      <c r="F641" s="20">
        <f t="shared" si="252"/>
        <v>0</v>
      </c>
      <c r="G641" s="20">
        <f t="shared" si="252"/>
        <v>0</v>
      </c>
      <c r="H641" s="31"/>
      <c r="I641" s="31"/>
      <c r="J641" s="31"/>
      <c r="K641" s="31"/>
      <c r="L641" s="20">
        <f t="shared" si="253"/>
        <v>0</v>
      </c>
      <c r="M641" s="20">
        <f t="shared" si="253"/>
        <v>283681.12</v>
      </c>
      <c r="N641" s="20">
        <f t="shared" si="253"/>
        <v>0</v>
      </c>
      <c r="O641" s="20">
        <f t="shared" si="253"/>
        <v>0</v>
      </c>
      <c r="P641" s="20">
        <f t="shared" si="253"/>
        <v>0</v>
      </c>
    </row>
    <row r="642" spans="1:16" s="1" customFormat="1">
      <c r="A642" s="48"/>
      <c r="B642" s="73" t="s">
        <v>24</v>
      </c>
      <c r="C642" s="20">
        <f t="shared" si="252"/>
        <v>2341103.7000000002</v>
      </c>
      <c r="D642" s="20">
        <f t="shared" si="252"/>
        <v>4282705.66</v>
      </c>
      <c r="E642" s="20">
        <f t="shared" si="252"/>
        <v>2267387.7999999998</v>
      </c>
      <c r="F642" s="20">
        <f t="shared" si="252"/>
        <v>73715.899999999994</v>
      </c>
      <c r="G642" s="20">
        <f t="shared" si="252"/>
        <v>0</v>
      </c>
      <c r="H642" s="31"/>
      <c r="I642" s="31"/>
      <c r="J642" s="31"/>
      <c r="K642" s="31"/>
      <c r="L642" s="20">
        <f t="shared" si="253"/>
        <v>0</v>
      </c>
      <c r="M642" s="20">
        <f t="shared" si="253"/>
        <v>4282705.66</v>
      </c>
      <c r="N642" s="20">
        <f t="shared" si="253"/>
        <v>0</v>
      </c>
      <c r="O642" s="20">
        <f t="shared" si="253"/>
        <v>0</v>
      </c>
      <c r="P642" s="20">
        <f t="shared" si="253"/>
        <v>0</v>
      </c>
    </row>
    <row r="643" spans="1:16" s="1" customFormat="1">
      <c r="A643" s="48"/>
      <c r="B643" s="74" t="s">
        <v>25</v>
      </c>
      <c r="C643" s="20">
        <f t="shared" si="252"/>
        <v>39728.980000000003</v>
      </c>
      <c r="D643" s="20">
        <f t="shared" si="252"/>
        <v>261496.99</v>
      </c>
      <c r="E643" s="20">
        <f t="shared" si="252"/>
        <v>39728.980000000003</v>
      </c>
      <c r="F643" s="20">
        <f t="shared" si="252"/>
        <v>0</v>
      </c>
      <c r="G643" s="20">
        <f t="shared" si="252"/>
        <v>0</v>
      </c>
      <c r="H643" s="31"/>
      <c r="I643" s="31"/>
      <c r="J643" s="31"/>
      <c r="K643" s="31"/>
      <c r="L643" s="20">
        <f t="shared" si="253"/>
        <v>0</v>
      </c>
      <c r="M643" s="20">
        <f t="shared" si="253"/>
        <v>261496.99</v>
      </c>
      <c r="N643" s="20">
        <f t="shared" si="253"/>
        <v>0</v>
      </c>
      <c r="O643" s="20">
        <f t="shared" si="253"/>
        <v>0</v>
      </c>
      <c r="P643" s="20">
        <f t="shared" si="253"/>
        <v>0</v>
      </c>
    </row>
    <row r="644" spans="1:16" s="1" customFormat="1">
      <c r="A644" s="48"/>
      <c r="B644" s="73" t="s">
        <v>26</v>
      </c>
      <c r="C644" s="20">
        <f t="shared" si="252"/>
        <v>50</v>
      </c>
      <c r="D644" s="20">
        <f t="shared" si="252"/>
        <v>13680.6</v>
      </c>
      <c r="E644" s="20">
        <f t="shared" si="252"/>
        <v>50</v>
      </c>
      <c r="F644" s="20">
        <f t="shared" si="252"/>
        <v>0</v>
      </c>
      <c r="G644" s="20">
        <f t="shared" si="252"/>
        <v>0</v>
      </c>
      <c r="H644" s="31"/>
      <c r="I644" s="31"/>
      <c r="J644" s="31"/>
      <c r="K644" s="31"/>
      <c r="L644" s="20">
        <f t="shared" si="253"/>
        <v>0</v>
      </c>
      <c r="M644" s="20">
        <f t="shared" si="253"/>
        <v>13680.6</v>
      </c>
      <c r="N644" s="20">
        <f t="shared" si="253"/>
        <v>0</v>
      </c>
      <c r="O644" s="20">
        <f t="shared" si="253"/>
        <v>0</v>
      </c>
      <c r="P644" s="20">
        <f t="shared" si="253"/>
        <v>0</v>
      </c>
    </row>
    <row r="645" spans="1:16" s="1" customFormat="1" ht="30">
      <c r="A645" s="48"/>
      <c r="B645" s="75" t="s">
        <v>27</v>
      </c>
      <c r="C645" s="76">
        <f t="shared" ref="C645:G645" si="254">SUM(C646:C649)</f>
        <v>2005524.4299999997</v>
      </c>
      <c r="D645" s="76">
        <f t="shared" si="254"/>
        <v>3053509.87</v>
      </c>
      <c r="E645" s="76">
        <f t="shared" si="254"/>
        <v>2005524.4299999997</v>
      </c>
      <c r="F645" s="76">
        <f t="shared" si="254"/>
        <v>0</v>
      </c>
      <c r="G645" s="76">
        <f t="shared" si="254"/>
        <v>0</v>
      </c>
      <c r="H645" s="31"/>
      <c r="I645" s="31"/>
      <c r="J645" s="31"/>
      <c r="K645" s="31"/>
      <c r="L645" s="76">
        <f t="shared" ref="L645:P645" si="255">SUM(L646:L649)</f>
        <v>0</v>
      </c>
      <c r="M645" s="76">
        <f t="shared" si="255"/>
        <v>3053509.87</v>
      </c>
      <c r="N645" s="76">
        <f t="shared" si="255"/>
        <v>0</v>
      </c>
      <c r="O645" s="76">
        <f t="shared" si="255"/>
        <v>0</v>
      </c>
      <c r="P645" s="76">
        <f t="shared" si="255"/>
        <v>0</v>
      </c>
    </row>
    <row r="646" spans="1:16" s="1" customFormat="1">
      <c r="A646" s="48"/>
      <c r="B646" s="77" t="s">
        <v>28</v>
      </c>
      <c r="C646" s="20">
        <f t="shared" ref="C646:G656" si="256">C15+C45+C75+C105+C135+C166+C196+C226+C256+C286+C316+C346+C376+C406+C436+C466+C496+C526+C556+C586+C616</f>
        <v>1076183.2799999998</v>
      </c>
      <c r="D646" s="20">
        <f t="shared" si="256"/>
        <v>1343823.01</v>
      </c>
      <c r="E646" s="20">
        <f t="shared" si="256"/>
        <v>1076183.2799999998</v>
      </c>
      <c r="F646" s="20">
        <f t="shared" si="256"/>
        <v>0</v>
      </c>
      <c r="G646" s="20">
        <f t="shared" si="256"/>
        <v>0</v>
      </c>
      <c r="H646" s="31"/>
      <c r="I646" s="31"/>
      <c r="J646" s="31"/>
      <c r="K646" s="31"/>
      <c r="L646" s="20">
        <f t="shared" ref="L646:P656" si="257">L15+L45+L75+L105+L135+L166+L196+L226+L256+L286+L316+L346+L376+L406+L436+L466+L496+L526+L556+L586+L616</f>
        <v>0</v>
      </c>
      <c r="M646" s="20">
        <f t="shared" si="257"/>
        <v>1343823.01</v>
      </c>
      <c r="N646" s="20">
        <f t="shared" si="257"/>
        <v>0</v>
      </c>
      <c r="O646" s="20">
        <f t="shared" si="257"/>
        <v>0</v>
      </c>
      <c r="P646" s="20">
        <f t="shared" si="257"/>
        <v>0</v>
      </c>
    </row>
    <row r="647" spans="1:16" s="1" customFormat="1">
      <c r="A647" s="48"/>
      <c r="B647" s="77" t="s">
        <v>29</v>
      </c>
      <c r="C647" s="20">
        <f t="shared" si="256"/>
        <v>572682.21</v>
      </c>
      <c r="D647" s="20">
        <f t="shared" si="256"/>
        <v>1076632.6400000001</v>
      </c>
      <c r="E647" s="20">
        <f t="shared" si="256"/>
        <v>572682.21</v>
      </c>
      <c r="F647" s="20">
        <f t="shared" si="256"/>
        <v>0</v>
      </c>
      <c r="G647" s="20">
        <f t="shared" si="256"/>
        <v>0</v>
      </c>
      <c r="H647" s="31"/>
      <c r="I647" s="31"/>
      <c r="J647" s="31"/>
      <c r="K647" s="31"/>
      <c r="L647" s="20">
        <f t="shared" si="257"/>
        <v>0</v>
      </c>
      <c r="M647" s="20">
        <f t="shared" si="257"/>
        <v>1076632.6400000001</v>
      </c>
      <c r="N647" s="20">
        <f t="shared" si="257"/>
        <v>0</v>
      </c>
      <c r="O647" s="20">
        <f t="shared" si="257"/>
        <v>0</v>
      </c>
      <c r="P647" s="20">
        <f t="shared" si="257"/>
        <v>0</v>
      </c>
    </row>
    <row r="648" spans="1:16" s="1" customFormat="1">
      <c r="A648" s="48"/>
      <c r="B648" s="77" t="s">
        <v>30</v>
      </c>
      <c r="C648" s="20">
        <f t="shared" si="256"/>
        <v>182871.13999999998</v>
      </c>
      <c r="D648" s="20">
        <f t="shared" si="256"/>
        <v>390968.98</v>
      </c>
      <c r="E648" s="20">
        <f t="shared" si="256"/>
        <v>182871.13999999998</v>
      </c>
      <c r="F648" s="20">
        <f t="shared" si="256"/>
        <v>0</v>
      </c>
      <c r="G648" s="20">
        <f t="shared" si="256"/>
        <v>0</v>
      </c>
      <c r="H648" s="31"/>
      <c r="I648" s="31"/>
      <c r="J648" s="31"/>
      <c r="K648" s="31"/>
      <c r="L648" s="20">
        <f t="shared" si="257"/>
        <v>0</v>
      </c>
      <c r="M648" s="20">
        <f t="shared" si="257"/>
        <v>390968.98</v>
      </c>
      <c r="N648" s="20">
        <f t="shared" si="257"/>
        <v>0</v>
      </c>
      <c r="O648" s="20">
        <f t="shared" si="257"/>
        <v>0</v>
      </c>
      <c r="P648" s="20">
        <f t="shared" si="257"/>
        <v>0</v>
      </c>
    </row>
    <row r="649" spans="1:16" s="1" customFormat="1">
      <c r="A649" s="48"/>
      <c r="B649" s="77" t="s">
        <v>31</v>
      </c>
      <c r="C649" s="20">
        <f t="shared" si="256"/>
        <v>173787.80000000002</v>
      </c>
      <c r="D649" s="20">
        <f t="shared" si="256"/>
        <v>242085.24</v>
      </c>
      <c r="E649" s="20">
        <f t="shared" si="256"/>
        <v>173787.80000000002</v>
      </c>
      <c r="F649" s="20">
        <f t="shared" si="256"/>
        <v>0</v>
      </c>
      <c r="G649" s="20">
        <f t="shared" si="256"/>
        <v>0</v>
      </c>
      <c r="H649" s="31"/>
      <c r="I649" s="31"/>
      <c r="J649" s="31"/>
      <c r="K649" s="31"/>
      <c r="L649" s="20">
        <f t="shared" si="257"/>
        <v>0</v>
      </c>
      <c r="M649" s="20">
        <f t="shared" si="257"/>
        <v>242085.24</v>
      </c>
      <c r="N649" s="20">
        <f t="shared" si="257"/>
        <v>0</v>
      </c>
      <c r="O649" s="20">
        <f t="shared" si="257"/>
        <v>0</v>
      </c>
      <c r="P649" s="20">
        <f t="shared" si="257"/>
        <v>0</v>
      </c>
    </row>
    <row r="650" spans="1:16" s="1" customFormat="1" ht="30">
      <c r="A650" s="48"/>
      <c r="B650" s="49" t="s">
        <v>32</v>
      </c>
      <c r="C650" s="20">
        <f t="shared" si="256"/>
        <v>0</v>
      </c>
      <c r="D650" s="20">
        <f t="shared" si="256"/>
        <v>0</v>
      </c>
      <c r="E650" s="20">
        <f t="shared" si="256"/>
        <v>0</v>
      </c>
      <c r="F650" s="20">
        <f t="shared" si="256"/>
        <v>0</v>
      </c>
      <c r="G650" s="20">
        <f t="shared" si="256"/>
        <v>0</v>
      </c>
      <c r="H650" s="31"/>
      <c r="I650" s="31"/>
      <c r="J650" s="31"/>
      <c r="K650" s="31"/>
      <c r="L650" s="20">
        <f t="shared" si="257"/>
        <v>0</v>
      </c>
      <c r="M650" s="20">
        <f t="shared" si="257"/>
        <v>0</v>
      </c>
      <c r="N650" s="20">
        <f t="shared" si="257"/>
        <v>0</v>
      </c>
      <c r="O650" s="20">
        <f t="shared" si="257"/>
        <v>0</v>
      </c>
      <c r="P650" s="20">
        <f t="shared" si="257"/>
        <v>0</v>
      </c>
    </row>
    <row r="651" spans="1:16" s="1" customFormat="1" ht="30">
      <c r="A651" s="48"/>
      <c r="B651" s="49" t="s">
        <v>33</v>
      </c>
      <c r="C651" s="20">
        <f t="shared" si="256"/>
        <v>396556.48</v>
      </c>
      <c r="D651" s="20">
        <f t="shared" si="256"/>
        <v>444928.90000000008</v>
      </c>
      <c r="E651" s="20">
        <f t="shared" si="256"/>
        <v>359582.73</v>
      </c>
      <c r="F651" s="20">
        <f t="shared" si="256"/>
        <v>36973.75</v>
      </c>
      <c r="G651" s="20">
        <f t="shared" si="256"/>
        <v>0</v>
      </c>
      <c r="H651" s="31"/>
      <c r="I651" s="31"/>
      <c r="J651" s="31"/>
      <c r="K651" s="31"/>
      <c r="L651" s="20">
        <f t="shared" si="257"/>
        <v>0</v>
      </c>
      <c r="M651" s="20">
        <f t="shared" si="257"/>
        <v>444928.90000000008</v>
      </c>
      <c r="N651" s="20">
        <f t="shared" si="257"/>
        <v>0</v>
      </c>
      <c r="O651" s="20">
        <f t="shared" si="257"/>
        <v>0</v>
      </c>
      <c r="P651" s="20">
        <f t="shared" si="257"/>
        <v>0</v>
      </c>
    </row>
    <row r="652" spans="1:16" s="1" customFormat="1" ht="30">
      <c r="A652" s="48"/>
      <c r="B652" s="78" t="s">
        <v>34</v>
      </c>
      <c r="C652" s="20">
        <f t="shared" si="256"/>
        <v>0</v>
      </c>
      <c r="D652" s="20">
        <f t="shared" si="256"/>
        <v>41049</v>
      </c>
      <c r="E652" s="20">
        <f t="shared" si="256"/>
        <v>0</v>
      </c>
      <c r="F652" s="20">
        <f t="shared" si="256"/>
        <v>0</v>
      </c>
      <c r="G652" s="20">
        <f t="shared" si="256"/>
        <v>0</v>
      </c>
      <c r="H652" s="31"/>
      <c r="I652" s="31"/>
      <c r="J652" s="31"/>
      <c r="K652" s="31"/>
      <c r="L652" s="20">
        <f t="shared" si="257"/>
        <v>0</v>
      </c>
      <c r="M652" s="20">
        <f t="shared" si="257"/>
        <v>41049</v>
      </c>
      <c r="N652" s="20">
        <f t="shared" si="257"/>
        <v>0</v>
      </c>
      <c r="O652" s="20">
        <f t="shared" si="257"/>
        <v>0</v>
      </c>
      <c r="P652" s="20">
        <f t="shared" si="257"/>
        <v>0</v>
      </c>
    </row>
    <row r="653" spans="1:16" s="1" customFormat="1">
      <c r="A653" s="48"/>
      <c r="B653" s="78" t="s">
        <v>35</v>
      </c>
      <c r="C653" s="20">
        <f t="shared" si="256"/>
        <v>354250.25000000006</v>
      </c>
      <c r="D653" s="20">
        <f t="shared" si="256"/>
        <v>877602.13</v>
      </c>
      <c r="E653" s="20">
        <f t="shared" si="256"/>
        <v>296666.74000000005</v>
      </c>
      <c r="F653" s="20">
        <f t="shared" si="256"/>
        <v>57583.509999999995</v>
      </c>
      <c r="G653" s="20">
        <f t="shared" si="256"/>
        <v>0</v>
      </c>
      <c r="H653" s="31"/>
      <c r="I653" s="31"/>
      <c r="J653" s="31"/>
      <c r="K653" s="31"/>
      <c r="L653" s="20">
        <f t="shared" si="257"/>
        <v>0</v>
      </c>
      <c r="M653" s="20">
        <f t="shared" si="257"/>
        <v>877602.13</v>
      </c>
      <c r="N653" s="20">
        <f t="shared" si="257"/>
        <v>0</v>
      </c>
      <c r="O653" s="20">
        <f t="shared" si="257"/>
        <v>0</v>
      </c>
      <c r="P653" s="20">
        <f t="shared" si="257"/>
        <v>0</v>
      </c>
    </row>
    <row r="654" spans="1:16" s="1" customFormat="1" ht="30">
      <c r="A654" s="48"/>
      <c r="B654" s="74" t="s">
        <v>36</v>
      </c>
      <c r="C654" s="20">
        <f t="shared" si="256"/>
        <v>0</v>
      </c>
      <c r="D654" s="20">
        <f t="shared" si="256"/>
        <v>0</v>
      </c>
      <c r="E654" s="20">
        <f t="shared" si="256"/>
        <v>0</v>
      </c>
      <c r="F654" s="20">
        <f t="shared" si="256"/>
        <v>0</v>
      </c>
      <c r="G654" s="20">
        <f t="shared" si="256"/>
        <v>0</v>
      </c>
      <c r="H654" s="31"/>
      <c r="I654" s="31"/>
      <c r="J654" s="31"/>
      <c r="K654" s="31"/>
      <c r="L654" s="20">
        <f t="shared" si="257"/>
        <v>0</v>
      </c>
      <c r="M654" s="20">
        <f t="shared" si="257"/>
        <v>0</v>
      </c>
      <c r="N654" s="20">
        <f t="shared" si="257"/>
        <v>0</v>
      </c>
      <c r="O654" s="20">
        <f t="shared" si="257"/>
        <v>0</v>
      </c>
      <c r="P654" s="20">
        <f t="shared" si="257"/>
        <v>0</v>
      </c>
    </row>
    <row r="655" spans="1:16" s="1" customFormat="1">
      <c r="A655" s="48"/>
      <c r="B655" s="49" t="s">
        <v>37</v>
      </c>
      <c r="C655" s="20">
        <f t="shared" si="256"/>
        <v>43179.66</v>
      </c>
      <c r="D655" s="20">
        <f t="shared" si="256"/>
        <v>599961.15</v>
      </c>
      <c r="E655" s="20">
        <f t="shared" si="256"/>
        <v>43179.66</v>
      </c>
      <c r="F655" s="20">
        <f t="shared" si="256"/>
        <v>0</v>
      </c>
      <c r="G655" s="20">
        <f t="shared" si="256"/>
        <v>0</v>
      </c>
      <c r="H655" s="31"/>
      <c r="I655" s="31"/>
      <c r="J655" s="31"/>
      <c r="K655" s="31"/>
      <c r="L655" s="20">
        <f t="shared" si="257"/>
        <v>0</v>
      </c>
      <c r="M655" s="20">
        <f t="shared" si="257"/>
        <v>599961.15</v>
      </c>
      <c r="N655" s="20">
        <f t="shared" si="257"/>
        <v>0</v>
      </c>
      <c r="O655" s="20">
        <f t="shared" si="257"/>
        <v>0</v>
      </c>
      <c r="P655" s="20">
        <f t="shared" si="257"/>
        <v>0</v>
      </c>
    </row>
    <row r="656" spans="1:16" s="1" customFormat="1" ht="30">
      <c r="A656" s="48"/>
      <c r="B656" s="49" t="s">
        <v>38</v>
      </c>
      <c r="C656" s="20">
        <f t="shared" si="256"/>
        <v>35400</v>
      </c>
      <c r="D656" s="20">
        <f t="shared" si="256"/>
        <v>7118954.5099999998</v>
      </c>
      <c r="E656" s="20">
        <f t="shared" si="256"/>
        <v>34690</v>
      </c>
      <c r="F656" s="20">
        <f t="shared" si="256"/>
        <v>710</v>
      </c>
      <c r="G656" s="20">
        <f t="shared" si="256"/>
        <v>0</v>
      </c>
      <c r="H656" s="31"/>
      <c r="I656" s="31"/>
      <c r="J656" s="31"/>
      <c r="K656" s="31"/>
      <c r="L656" s="20">
        <f t="shared" si="257"/>
        <v>0</v>
      </c>
      <c r="M656" s="20">
        <f t="shared" si="257"/>
        <v>7118954.5099999998</v>
      </c>
      <c r="N656" s="20">
        <f t="shared" si="257"/>
        <v>0</v>
      </c>
      <c r="O656" s="20">
        <f t="shared" si="257"/>
        <v>0</v>
      </c>
      <c r="P656" s="20">
        <f t="shared" si="257"/>
        <v>0</v>
      </c>
    </row>
    <row r="657" spans="1:16" s="1" customFormat="1" ht="30">
      <c r="A657" s="48"/>
      <c r="B657" s="79" t="s">
        <v>39</v>
      </c>
      <c r="C657" s="76">
        <f t="shared" ref="C657:G657" si="258">SUM(C658:C664)</f>
        <v>8277277.8400000008</v>
      </c>
      <c r="D657" s="76">
        <f t="shared" si="258"/>
        <v>3404886.5300000003</v>
      </c>
      <c r="E657" s="76">
        <f t="shared" si="258"/>
        <v>3011177.9599999995</v>
      </c>
      <c r="F657" s="76">
        <f t="shared" si="258"/>
        <v>5266099.879999999</v>
      </c>
      <c r="G657" s="76">
        <f t="shared" si="258"/>
        <v>0</v>
      </c>
      <c r="H657" s="31"/>
      <c r="I657" s="31"/>
      <c r="J657" s="31"/>
      <c r="K657" s="31"/>
      <c r="L657" s="76">
        <f t="shared" ref="L657:P657" si="259">SUM(L658:L664)</f>
        <v>0</v>
      </c>
      <c r="M657" s="76">
        <f t="shared" si="259"/>
        <v>3404886.5300000003</v>
      </c>
      <c r="N657" s="76">
        <f t="shared" si="259"/>
        <v>0</v>
      </c>
      <c r="O657" s="76">
        <f t="shared" si="259"/>
        <v>0</v>
      </c>
      <c r="P657" s="76">
        <f t="shared" si="259"/>
        <v>0</v>
      </c>
    </row>
    <row r="658" spans="1:16" s="1" customFormat="1" ht="30">
      <c r="A658" s="48" t="s">
        <v>40</v>
      </c>
      <c r="B658" s="49" t="s">
        <v>41</v>
      </c>
      <c r="C658" s="20">
        <f t="shared" ref="C658:G664" si="260">C27+C57+C87+C117+C147+C178+C208+C238+C268+C298+C328+C358+C388+C418+C448+C478+C508+C538+C568+C598+C628</f>
        <v>0</v>
      </c>
      <c r="D658" s="20">
        <f t="shared" si="260"/>
        <v>19800.099999999999</v>
      </c>
      <c r="E658" s="20">
        <f t="shared" si="260"/>
        <v>0</v>
      </c>
      <c r="F658" s="20">
        <f t="shared" si="260"/>
        <v>0</v>
      </c>
      <c r="G658" s="20">
        <f t="shared" si="260"/>
        <v>0</v>
      </c>
      <c r="H658" s="31"/>
      <c r="I658" s="31"/>
      <c r="J658" s="31"/>
      <c r="K658" s="31"/>
      <c r="L658" s="20">
        <f t="shared" ref="L658:P664" si="261">L27+L57+L87+L117+L147+L178+L208+L238+L268+L298+L328+L358+L388+L418+L448+L478+L508+L538+L568+L598+L628</f>
        <v>0</v>
      </c>
      <c r="M658" s="20">
        <f t="shared" si="261"/>
        <v>19800.099999999999</v>
      </c>
      <c r="N658" s="20">
        <f t="shared" si="261"/>
        <v>0</v>
      </c>
      <c r="O658" s="20">
        <f t="shared" si="261"/>
        <v>0</v>
      </c>
      <c r="P658" s="20">
        <f t="shared" si="261"/>
        <v>0</v>
      </c>
    </row>
    <row r="659" spans="1:16" s="1" customFormat="1">
      <c r="A659" s="48"/>
      <c r="B659" s="49" t="s">
        <v>42</v>
      </c>
      <c r="C659" s="20">
        <f t="shared" si="260"/>
        <v>41500</v>
      </c>
      <c r="D659" s="20">
        <f t="shared" si="260"/>
        <v>107967.23999999999</v>
      </c>
      <c r="E659" s="20">
        <f t="shared" si="260"/>
        <v>41500</v>
      </c>
      <c r="F659" s="20">
        <f t="shared" si="260"/>
        <v>0</v>
      </c>
      <c r="G659" s="20">
        <f t="shared" si="260"/>
        <v>0</v>
      </c>
      <c r="H659" s="31"/>
      <c r="I659" s="31"/>
      <c r="J659" s="31"/>
      <c r="K659" s="31"/>
      <c r="L659" s="20">
        <f t="shared" si="261"/>
        <v>0</v>
      </c>
      <c r="M659" s="20">
        <f t="shared" si="261"/>
        <v>107967.23999999999</v>
      </c>
      <c r="N659" s="20">
        <f t="shared" si="261"/>
        <v>0</v>
      </c>
      <c r="O659" s="20">
        <f t="shared" si="261"/>
        <v>0</v>
      </c>
      <c r="P659" s="20">
        <f t="shared" si="261"/>
        <v>0</v>
      </c>
    </row>
    <row r="660" spans="1:16" s="1" customFormat="1">
      <c r="A660" s="48"/>
      <c r="B660" s="49" t="s">
        <v>43</v>
      </c>
      <c r="C660" s="20">
        <f t="shared" si="260"/>
        <v>0</v>
      </c>
      <c r="D660" s="20">
        <f t="shared" si="260"/>
        <v>15799.37</v>
      </c>
      <c r="E660" s="20">
        <f t="shared" si="260"/>
        <v>0</v>
      </c>
      <c r="F660" s="20">
        <f t="shared" si="260"/>
        <v>0</v>
      </c>
      <c r="G660" s="20">
        <f t="shared" si="260"/>
        <v>0</v>
      </c>
      <c r="H660" s="31"/>
      <c r="I660" s="31"/>
      <c r="J660" s="31"/>
      <c r="K660" s="31"/>
      <c r="L660" s="20">
        <f t="shared" si="261"/>
        <v>0</v>
      </c>
      <c r="M660" s="20">
        <f t="shared" si="261"/>
        <v>15799.37</v>
      </c>
      <c r="N660" s="20">
        <f t="shared" si="261"/>
        <v>0</v>
      </c>
      <c r="O660" s="20">
        <f t="shared" si="261"/>
        <v>0</v>
      </c>
      <c r="P660" s="20">
        <f t="shared" si="261"/>
        <v>0</v>
      </c>
    </row>
    <row r="661" spans="1:16" s="1" customFormat="1">
      <c r="A661" s="48"/>
      <c r="B661" s="49" t="s">
        <v>44</v>
      </c>
      <c r="C661" s="20">
        <f t="shared" si="260"/>
        <v>7130291.7700000005</v>
      </c>
      <c r="D661" s="20">
        <f t="shared" si="260"/>
        <v>1649402.4600000002</v>
      </c>
      <c r="E661" s="20">
        <f t="shared" si="260"/>
        <v>2628394.7699999996</v>
      </c>
      <c r="F661" s="20">
        <f t="shared" si="260"/>
        <v>4501896.9999999991</v>
      </c>
      <c r="G661" s="20">
        <f t="shared" si="260"/>
        <v>0</v>
      </c>
      <c r="H661" s="31"/>
      <c r="I661" s="31"/>
      <c r="J661" s="31"/>
      <c r="K661" s="31"/>
      <c r="L661" s="20">
        <f t="shared" si="261"/>
        <v>0</v>
      </c>
      <c r="M661" s="20">
        <f t="shared" si="261"/>
        <v>1649402.4600000002</v>
      </c>
      <c r="N661" s="20">
        <f t="shared" si="261"/>
        <v>0</v>
      </c>
      <c r="O661" s="20">
        <f t="shared" si="261"/>
        <v>0</v>
      </c>
      <c r="P661" s="20">
        <f t="shared" si="261"/>
        <v>0</v>
      </c>
    </row>
    <row r="662" spans="1:16" s="1" customFormat="1">
      <c r="A662" s="48"/>
      <c r="B662" s="49" t="s">
        <v>45</v>
      </c>
      <c r="C662" s="20">
        <f t="shared" si="260"/>
        <v>0</v>
      </c>
      <c r="D662" s="20">
        <f t="shared" si="260"/>
        <v>72198.94</v>
      </c>
      <c r="E662" s="20">
        <f t="shared" si="260"/>
        <v>0</v>
      </c>
      <c r="F662" s="20">
        <f t="shared" si="260"/>
        <v>0</v>
      </c>
      <c r="G662" s="20">
        <f t="shared" si="260"/>
        <v>0</v>
      </c>
      <c r="H662" s="31"/>
      <c r="I662" s="31"/>
      <c r="J662" s="31"/>
      <c r="K662" s="31"/>
      <c r="L662" s="20">
        <f t="shared" si="261"/>
        <v>0</v>
      </c>
      <c r="M662" s="20">
        <f t="shared" si="261"/>
        <v>72198.94</v>
      </c>
      <c r="N662" s="20">
        <f t="shared" si="261"/>
        <v>0</v>
      </c>
      <c r="O662" s="20">
        <f t="shared" si="261"/>
        <v>0</v>
      </c>
      <c r="P662" s="20">
        <f t="shared" si="261"/>
        <v>0</v>
      </c>
    </row>
    <row r="663" spans="1:16" s="1" customFormat="1" ht="30">
      <c r="A663" s="48"/>
      <c r="B663" s="49" t="s">
        <v>46</v>
      </c>
      <c r="C663" s="20">
        <f t="shared" si="260"/>
        <v>0</v>
      </c>
      <c r="D663" s="20">
        <f t="shared" si="260"/>
        <v>0</v>
      </c>
      <c r="E663" s="20">
        <f t="shared" si="260"/>
        <v>0</v>
      </c>
      <c r="F663" s="20">
        <f t="shared" si="260"/>
        <v>0</v>
      </c>
      <c r="G663" s="20">
        <f t="shared" si="260"/>
        <v>0</v>
      </c>
      <c r="H663" s="31"/>
      <c r="I663" s="31"/>
      <c r="J663" s="31"/>
      <c r="K663" s="31"/>
      <c r="L663" s="20">
        <f t="shared" si="261"/>
        <v>0</v>
      </c>
      <c r="M663" s="20">
        <f t="shared" si="261"/>
        <v>0</v>
      </c>
      <c r="N663" s="20">
        <f t="shared" si="261"/>
        <v>0</v>
      </c>
      <c r="O663" s="20">
        <f t="shared" si="261"/>
        <v>0</v>
      </c>
      <c r="P663" s="20">
        <f t="shared" si="261"/>
        <v>0</v>
      </c>
    </row>
    <row r="664" spans="1:16" s="1" customFormat="1">
      <c r="A664" s="48"/>
      <c r="B664" s="49" t="s">
        <v>47</v>
      </c>
      <c r="C664" s="20">
        <f t="shared" si="260"/>
        <v>1105486.07</v>
      </c>
      <c r="D664" s="20">
        <f t="shared" si="260"/>
        <v>1539718.4200000002</v>
      </c>
      <c r="E664" s="20">
        <f t="shared" si="260"/>
        <v>341283.19</v>
      </c>
      <c r="F664" s="20">
        <f t="shared" si="260"/>
        <v>764202.88</v>
      </c>
      <c r="G664" s="20">
        <f t="shared" si="260"/>
        <v>0</v>
      </c>
      <c r="H664" s="31"/>
      <c r="I664" s="31"/>
      <c r="J664" s="31"/>
      <c r="K664" s="31"/>
      <c r="L664" s="20">
        <f t="shared" si="261"/>
        <v>0</v>
      </c>
      <c r="M664" s="20">
        <f t="shared" si="261"/>
        <v>1539718.4200000002</v>
      </c>
      <c r="N664" s="20">
        <f t="shared" si="261"/>
        <v>0</v>
      </c>
      <c r="O664" s="20">
        <f t="shared" si="261"/>
        <v>0</v>
      </c>
      <c r="P664" s="20">
        <f t="shared" si="261"/>
        <v>0</v>
      </c>
    </row>
    <row r="665" spans="1:16" s="1" customFormat="1" ht="36.75" customHeight="1">
      <c r="A665" s="211" t="s">
        <v>3</v>
      </c>
      <c r="B665" s="213" t="s">
        <v>4</v>
      </c>
      <c r="C665" s="213" t="s">
        <v>5</v>
      </c>
      <c r="D665" s="10" t="s">
        <v>6</v>
      </c>
      <c r="E665" s="215" t="s">
        <v>7</v>
      </c>
      <c r="F665" s="216"/>
      <c r="G665" s="217"/>
      <c r="H665" s="218" t="s">
        <v>8</v>
      </c>
      <c r="I665" s="218"/>
      <c r="J665" s="218"/>
      <c r="K665" s="11"/>
      <c r="L665" s="219" t="s">
        <v>9</v>
      </c>
      <c r="M665" s="12" t="s">
        <v>6</v>
      </c>
      <c r="N665" s="208" t="s">
        <v>10</v>
      </c>
      <c r="O665" s="209"/>
      <c r="P665" s="210"/>
    </row>
    <row r="666" spans="1:16" s="1" customFormat="1" ht="47.25" customHeight="1">
      <c r="A666" s="212"/>
      <c r="B666" s="214"/>
      <c r="C666" s="214"/>
      <c r="D666" s="13" t="s">
        <v>11</v>
      </c>
      <c r="E666" s="13" t="s">
        <v>12</v>
      </c>
      <c r="F666" s="13" t="s">
        <v>13</v>
      </c>
      <c r="G666" s="13" t="s">
        <v>14</v>
      </c>
      <c r="H666" s="14" t="s">
        <v>15</v>
      </c>
      <c r="I666" s="14" t="s">
        <v>16</v>
      </c>
      <c r="J666" s="14" t="s">
        <v>17</v>
      </c>
      <c r="K666" s="14" t="s">
        <v>18</v>
      </c>
      <c r="L666" s="220"/>
      <c r="M666" s="15" t="s">
        <v>11</v>
      </c>
      <c r="N666" s="15" t="s">
        <v>12</v>
      </c>
      <c r="O666" s="15" t="s">
        <v>13</v>
      </c>
      <c r="P666" s="15" t="s">
        <v>14</v>
      </c>
    </row>
    <row r="667" spans="1:16" s="1" customFormat="1" ht="30">
      <c r="A667" s="80">
        <v>1</v>
      </c>
      <c r="B667" s="17" t="s">
        <v>69</v>
      </c>
      <c r="C667" s="81">
        <f t="shared" ref="C667:G667" si="262">C668+C669+C670+C671+C672+C673+C674+C675+C680+C681+C682+C683+C684+C685+C686+C687</f>
        <v>771133.43999999994</v>
      </c>
      <c r="D667" s="81">
        <f t="shared" si="262"/>
        <v>487758.67999999993</v>
      </c>
      <c r="E667" s="81">
        <f t="shared" si="262"/>
        <v>771133.43999999994</v>
      </c>
      <c r="F667" s="81">
        <f t="shared" si="262"/>
        <v>0</v>
      </c>
      <c r="G667" s="81">
        <f t="shared" si="262"/>
        <v>0</v>
      </c>
      <c r="H667" s="82"/>
      <c r="I667" s="83"/>
      <c r="J667" s="83"/>
      <c r="K667" s="84"/>
      <c r="L667" s="81">
        <f t="shared" ref="L667:P667" si="263">L668+L669+L670+L671+L672+L673+L674+L675+L680+L681+L682+L683+L684+L685+L686+L687</f>
        <v>0</v>
      </c>
      <c r="M667" s="81">
        <f t="shared" si="263"/>
        <v>487758.67999999993</v>
      </c>
      <c r="N667" s="81">
        <f t="shared" si="263"/>
        <v>0</v>
      </c>
      <c r="O667" s="81">
        <f t="shared" si="263"/>
        <v>0</v>
      </c>
      <c r="P667" s="81">
        <f t="shared" si="263"/>
        <v>0</v>
      </c>
    </row>
    <row r="668" spans="1:16" s="1" customFormat="1">
      <c r="A668" s="22"/>
      <c r="B668" s="23" t="s">
        <v>20</v>
      </c>
      <c r="C668" s="24">
        <f t="shared" ref="C668:C674" si="264">E668+F668+G668</f>
        <v>0</v>
      </c>
      <c r="D668" s="25"/>
      <c r="E668" s="25"/>
      <c r="F668" s="25"/>
      <c r="G668" s="25"/>
      <c r="H668" s="26"/>
      <c r="I668" s="24"/>
      <c r="J668" s="24"/>
      <c r="K668" s="27"/>
      <c r="L668" s="24">
        <f t="shared" ref="L668:L674" si="265">N668+O668+P668</f>
        <v>0</v>
      </c>
      <c r="M668" s="25"/>
      <c r="N668" s="25"/>
      <c r="O668" s="25"/>
      <c r="P668" s="25"/>
    </row>
    <row r="669" spans="1:16" s="1" customFormat="1">
      <c r="A669" s="28"/>
      <c r="B669" s="29" t="s">
        <v>21</v>
      </c>
      <c r="C669" s="24">
        <f t="shared" si="264"/>
        <v>43.58</v>
      </c>
      <c r="D669" s="30">
        <v>4</v>
      </c>
      <c r="E669" s="30">
        <v>43.58</v>
      </c>
      <c r="F669" s="30"/>
      <c r="G669" s="30"/>
      <c r="H669" s="31"/>
      <c r="I669" s="31"/>
      <c r="J669" s="31"/>
      <c r="K669" s="31"/>
      <c r="L669" s="24">
        <f t="shared" si="265"/>
        <v>0</v>
      </c>
      <c r="M669" s="30">
        <v>4</v>
      </c>
      <c r="N669" s="30"/>
      <c r="O669" s="30"/>
      <c r="P669" s="30"/>
    </row>
    <row r="670" spans="1:16" s="1" customFormat="1">
      <c r="A670" s="28"/>
      <c r="B670" s="32" t="s">
        <v>22</v>
      </c>
      <c r="C670" s="24">
        <f t="shared" si="264"/>
        <v>0</v>
      </c>
      <c r="D670" s="30"/>
      <c r="E670" s="30"/>
      <c r="F670" s="30"/>
      <c r="G670" s="30"/>
      <c r="H670" s="31"/>
      <c r="I670" s="31"/>
      <c r="J670" s="31"/>
      <c r="K670" s="31"/>
      <c r="L670" s="24">
        <f t="shared" si="265"/>
        <v>0</v>
      </c>
      <c r="M670" s="30"/>
      <c r="N670" s="30"/>
      <c r="O670" s="30"/>
      <c r="P670" s="30"/>
    </row>
    <row r="671" spans="1:16" s="1" customFormat="1">
      <c r="A671" s="28"/>
      <c r="B671" s="32" t="s">
        <v>23</v>
      </c>
      <c r="C671" s="24">
        <f t="shared" si="264"/>
        <v>0</v>
      </c>
      <c r="D671" s="30"/>
      <c r="E671" s="30"/>
      <c r="F671" s="30"/>
      <c r="G671" s="30"/>
      <c r="H671" s="31"/>
      <c r="I671" s="31"/>
      <c r="J671" s="31"/>
      <c r="K671" s="31"/>
      <c r="L671" s="24">
        <f t="shared" si="265"/>
        <v>0</v>
      </c>
      <c r="M671" s="30"/>
      <c r="N671" s="30"/>
      <c r="O671" s="30"/>
      <c r="P671" s="30"/>
    </row>
    <row r="672" spans="1:16" s="1" customFormat="1">
      <c r="A672" s="28"/>
      <c r="B672" s="29" t="s">
        <v>24</v>
      </c>
      <c r="C672" s="24">
        <f t="shared" si="264"/>
        <v>0</v>
      </c>
      <c r="D672" s="30">
        <f>59288.6</f>
        <v>59288.6</v>
      </c>
      <c r="E672" s="30"/>
      <c r="F672" s="30"/>
      <c r="G672" s="30"/>
      <c r="H672" s="31"/>
      <c r="I672" s="31"/>
      <c r="J672" s="31"/>
      <c r="K672" s="31"/>
      <c r="L672" s="24">
        <f t="shared" si="265"/>
        <v>0</v>
      </c>
      <c r="M672" s="30">
        <f>59288.6</f>
        <v>59288.6</v>
      </c>
      <c r="N672" s="30"/>
      <c r="O672" s="30"/>
      <c r="P672" s="30"/>
    </row>
    <row r="673" spans="1:16" s="1" customFormat="1">
      <c r="A673" s="28"/>
      <c r="B673" s="34" t="s">
        <v>25</v>
      </c>
      <c r="C673" s="24">
        <f t="shared" si="264"/>
        <v>6244.21</v>
      </c>
      <c r="D673" s="30"/>
      <c r="E673" s="30">
        <v>6244.21</v>
      </c>
      <c r="F673" s="30"/>
      <c r="G673" s="30"/>
      <c r="H673" s="31"/>
      <c r="I673" s="31"/>
      <c r="J673" s="31"/>
      <c r="K673" s="31"/>
      <c r="L673" s="24">
        <f t="shared" si="265"/>
        <v>0</v>
      </c>
      <c r="M673" s="30"/>
      <c r="N673" s="30"/>
      <c r="O673" s="30"/>
      <c r="P673" s="30"/>
    </row>
    <row r="674" spans="1:16" s="1" customFormat="1">
      <c r="A674" s="28"/>
      <c r="B674" s="32" t="s">
        <v>26</v>
      </c>
      <c r="C674" s="24">
        <f t="shared" si="264"/>
        <v>0</v>
      </c>
      <c r="D674" s="30"/>
      <c r="E674" s="30"/>
      <c r="F674" s="30"/>
      <c r="G674" s="30"/>
      <c r="H674" s="31"/>
      <c r="I674" s="31"/>
      <c r="J674" s="31"/>
      <c r="K674" s="31"/>
      <c r="L674" s="24">
        <f t="shared" si="265"/>
        <v>0</v>
      </c>
      <c r="M674" s="30"/>
      <c r="N674" s="30"/>
      <c r="O674" s="30"/>
      <c r="P674" s="30"/>
    </row>
    <row r="675" spans="1:16" s="1" customFormat="1" ht="30">
      <c r="A675" s="28"/>
      <c r="B675" s="35" t="s">
        <v>27</v>
      </c>
      <c r="C675" s="36">
        <f t="shared" ref="C675:G675" si="266">SUM(C676:C679)</f>
        <v>91765.43</v>
      </c>
      <c r="D675" s="36">
        <f t="shared" si="266"/>
        <v>274240.83999999997</v>
      </c>
      <c r="E675" s="36">
        <f t="shared" si="266"/>
        <v>91765.43</v>
      </c>
      <c r="F675" s="36">
        <f t="shared" si="266"/>
        <v>0</v>
      </c>
      <c r="G675" s="36">
        <f t="shared" si="266"/>
        <v>0</v>
      </c>
      <c r="H675" s="31"/>
      <c r="I675" s="31"/>
      <c r="J675" s="31"/>
      <c r="K675" s="31"/>
      <c r="L675" s="36">
        <f t="shared" ref="L675:P675" si="267">SUM(L676:L679)</f>
        <v>0</v>
      </c>
      <c r="M675" s="36">
        <f t="shared" si="267"/>
        <v>274240.83999999997</v>
      </c>
      <c r="N675" s="36">
        <f t="shared" si="267"/>
        <v>0</v>
      </c>
      <c r="O675" s="36">
        <f t="shared" si="267"/>
        <v>0</v>
      </c>
      <c r="P675" s="36">
        <f t="shared" si="267"/>
        <v>0</v>
      </c>
    </row>
    <row r="676" spans="1:16" s="1" customFormat="1">
      <c r="A676" s="28"/>
      <c r="B676" s="38" t="s">
        <v>28</v>
      </c>
      <c r="C676" s="24">
        <f t="shared" ref="C676:C686" si="268">E676+F676+G676</f>
        <v>0</v>
      </c>
      <c r="D676" s="30">
        <v>78058.13</v>
      </c>
      <c r="E676" s="30"/>
      <c r="F676" s="30"/>
      <c r="G676" s="30"/>
      <c r="H676" s="31"/>
      <c r="I676" s="31"/>
      <c r="J676" s="31"/>
      <c r="K676" s="31"/>
      <c r="L676" s="24">
        <f t="shared" ref="L676:L686" si="269">N676+O676+P676</f>
        <v>0</v>
      </c>
      <c r="M676" s="30">
        <v>78058.13</v>
      </c>
      <c r="N676" s="30"/>
      <c r="O676" s="30"/>
      <c r="P676" s="30"/>
    </row>
    <row r="677" spans="1:16" s="1" customFormat="1">
      <c r="A677" s="28"/>
      <c r="B677" s="38" t="s">
        <v>29</v>
      </c>
      <c r="C677" s="24">
        <f t="shared" si="268"/>
        <v>0</v>
      </c>
      <c r="D677" s="30">
        <v>196182.71</v>
      </c>
      <c r="E677" s="30"/>
      <c r="F677" s="30"/>
      <c r="G677" s="30"/>
      <c r="H677" s="31"/>
      <c r="I677" s="31"/>
      <c r="J677" s="31"/>
      <c r="K677" s="31"/>
      <c r="L677" s="24">
        <f t="shared" si="269"/>
        <v>0</v>
      </c>
      <c r="M677" s="30">
        <v>196182.71</v>
      </c>
      <c r="N677" s="30"/>
      <c r="O677" s="30"/>
      <c r="P677" s="30"/>
    </row>
    <row r="678" spans="1:16" s="1" customFormat="1">
      <c r="A678" s="28"/>
      <c r="B678" s="38" t="s">
        <v>30</v>
      </c>
      <c r="C678" s="24">
        <f t="shared" si="268"/>
        <v>60189.319999999992</v>
      </c>
      <c r="D678" s="30"/>
      <c r="E678" s="30">
        <f>44624.09+15565.23</f>
        <v>60189.319999999992</v>
      </c>
      <c r="F678" s="30"/>
      <c r="G678" s="30"/>
      <c r="H678" s="31"/>
      <c r="I678" s="31"/>
      <c r="J678" s="31"/>
      <c r="K678" s="31"/>
      <c r="L678" s="24">
        <f t="shared" si="269"/>
        <v>0</v>
      </c>
      <c r="M678" s="30"/>
      <c r="N678" s="30"/>
      <c r="O678" s="30"/>
      <c r="P678" s="30"/>
    </row>
    <row r="679" spans="1:16" s="1" customFormat="1">
      <c r="A679" s="28"/>
      <c r="B679" s="38" t="s">
        <v>31</v>
      </c>
      <c r="C679" s="24">
        <f t="shared" si="268"/>
        <v>31576.11</v>
      </c>
      <c r="D679" s="30"/>
      <c r="E679" s="30">
        <v>31576.11</v>
      </c>
      <c r="F679" s="30"/>
      <c r="G679" s="30"/>
      <c r="H679" s="31"/>
      <c r="I679" s="31"/>
      <c r="J679" s="31"/>
      <c r="K679" s="31"/>
      <c r="L679" s="24">
        <f t="shared" si="269"/>
        <v>0</v>
      </c>
      <c r="M679" s="30"/>
      <c r="N679" s="30"/>
      <c r="O679" s="30"/>
      <c r="P679" s="30"/>
    </row>
    <row r="680" spans="1:16" s="1" customFormat="1" ht="30">
      <c r="A680" s="28"/>
      <c r="B680" s="39" t="s">
        <v>32</v>
      </c>
      <c r="C680" s="24">
        <f t="shared" si="268"/>
        <v>0</v>
      </c>
      <c r="D680" s="30"/>
      <c r="E680" s="30"/>
      <c r="F680" s="30"/>
      <c r="G680" s="30"/>
      <c r="H680" s="31"/>
      <c r="I680" s="31"/>
      <c r="J680" s="31"/>
      <c r="K680" s="31"/>
      <c r="L680" s="24">
        <f t="shared" si="269"/>
        <v>0</v>
      </c>
      <c r="M680" s="30"/>
      <c r="N680" s="30"/>
      <c r="O680" s="30"/>
      <c r="P680" s="30"/>
    </row>
    <row r="681" spans="1:16" s="1" customFormat="1" ht="30">
      <c r="A681" s="28"/>
      <c r="B681" s="39" t="s">
        <v>33</v>
      </c>
      <c r="C681" s="24">
        <f t="shared" si="268"/>
        <v>0</v>
      </c>
      <c r="D681" s="30"/>
      <c r="E681" s="30"/>
      <c r="F681" s="30"/>
      <c r="G681" s="30"/>
      <c r="H681" s="31"/>
      <c r="I681" s="31"/>
      <c r="J681" s="31"/>
      <c r="K681" s="31"/>
      <c r="L681" s="24">
        <f t="shared" si="269"/>
        <v>0</v>
      </c>
      <c r="M681" s="30"/>
      <c r="N681" s="30"/>
      <c r="O681" s="30"/>
      <c r="P681" s="30"/>
    </row>
    <row r="682" spans="1:16" s="1" customFormat="1" ht="30">
      <c r="A682" s="28"/>
      <c r="B682" s="40" t="s">
        <v>34</v>
      </c>
      <c r="C682" s="24">
        <f t="shared" si="268"/>
        <v>0</v>
      </c>
      <c r="D682" s="30"/>
      <c r="E682" s="30"/>
      <c r="F682" s="30"/>
      <c r="G682" s="30"/>
      <c r="H682" s="31"/>
      <c r="I682" s="31"/>
      <c r="J682" s="31"/>
      <c r="K682" s="31"/>
      <c r="L682" s="24">
        <f t="shared" si="269"/>
        <v>0</v>
      </c>
      <c r="M682" s="30"/>
      <c r="N682" s="30"/>
      <c r="O682" s="30"/>
      <c r="P682" s="30"/>
    </row>
    <row r="683" spans="1:16" s="1" customFormat="1">
      <c r="A683" s="28"/>
      <c r="B683" s="40" t="s">
        <v>35</v>
      </c>
      <c r="C683" s="24">
        <f t="shared" si="268"/>
        <v>0</v>
      </c>
      <c r="D683" s="30">
        <f>15930+94797.24</f>
        <v>110727.24</v>
      </c>
      <c r="E683" s="30"/>
      <c r="F683" s="30"/>
      <c r="G683" s="30"/>
      <c r="H683" s="31"/>
      <c r="I683" s="31"/>
      <c r="J683" s="31"/>
      <c r="K683" s="31"/>
      <c r="L683" s="24">
        <f t="shared" si="269"/>
        <v>0</v>
      </c>
      <c r="M683" s="30">
        <f>15930+94797.24</f>
        <v>110727.24</v>
      </c>
      <c r="N683" s="30"/>
      <c r="O683" s="30"/>
      <c r="P683" s="30"/>
    </row>
    <row r="684" spans="1:16" s="1" customFormat="1" ht="30">
      <c r="A684" s="28"/>
      <c r="B684" s="41" t="s">
        <v>36</v>
      </c>
      <c r="C684" s="24">
        <f t="shared" si="268"/>
        <v>0</v>
      </c>
      <c r="D684" s="30"/>
      <c r="E684" s="30"/>
      <c r="F684" s="30"/>
      <c r="G684" s="30"/>
      <c r="H684" s="31"/>
      <c r="I684" s="31"/>
      <c r="J684" s="31"/>
      <c r="K684" s="31"/>
      <c r="L684" s="24">
        <f t="shared" si="269"/>
        <v>0</v>
      </c>
      <c r="M684" s="30"/>
      <c r="N684" s="30"/>
      <c r="O684" s="30"/>
      <c r="P684" s="30"/>
    </row>
    <row r="685" spans="1:16" s="1" customFormat="1" ht="21" customHeight="1">
      <c r="A685" s="28"/>
      <c r="B685" s="42" t="s">
        <v>37</v>
      </c>
      <c r="C685" s="24">
        <f t="shared" si="268"/>
        <v>673080.22</v>
      </c>
      <c r="D685" s="30"/>
      <c r="E685" s="30">
        <v>673080.22</v>
      </c>
      <c r="F685" s="30"/>
      <c r="G685" s="30"/>
      <c r="H685" s="31"/>
      <c r="I685" s="31"/>
      <c r="J685" s="31"/>
      <c r="K685" s="31"/>
      <c r="L685" s="24">
        <f t="shared" si="269"/>
        <v>0</v>
      </c>
      <c r="M685" s="30"/>
      <c r="N685" s="30"/>
      <c r="O685" s="30"/>
      <c r="P685" s="30"/>
    </row>
    <row r="686" spans="1:16" s="1" customFormat="1" ht="30">
      <c r="A686" s="28"/>
      <c r="B686" s="42" t="s">
        <v>38</v>
      </c>
      <c r="C686" s="24">
        <f t="shared" si="268"/>
        <v>0</v>
      </c>
      <c r="D686" s="30">
        <v>43498</v>
      </c>
      <c r="E686" s="30"/>
      <c r="F686" s="30"/>
      <c r="G686" s="30"/>
      <c r="H686" s="31"/>
      <c r="I686" s="31"/>
      <c r="J686" s="31"/>
      <c r="K686" s="31"/>
      <c r="L686" s="24">
        <f t="shared" si="269"/>
        <v>0</v>
      </c>
      <c r="M686" s="30">
        <v>43498</v>
      </c>
      <c r="N686" s="30"/>
      <c r="O686" s="30"/>
      <c r="P686" s="30"/>
    </row>
    <row r="687" spans="1:16" s="1" customFormat="1" ht="30">
      <c r="A687" s="28"/>
      <c r="B687" s="43" t="s">
        <v>39</v>
      </c>
      <c r="C687" s="36">
        <f t="shared" ref="C687:G687" si="270">SUM(C688:C694)</f>
        <v>0</v>
      </c>
      <c r="D687" s="36">
        <f t="shared" si="270"/>
        <v>0</v>
      </c>
      <c r="E687" s="36">
        <f t="shared" si="270"/>
        <v>0</v>
      </c>
      <c r="F687" s="36">
        <f t="shared" si="270"/>
        <v>0</v>
      </c>
      <c r="G687" s="36">
        <f t="shared" si="270"/>
        <v>0</v>
      </c>
      <c r="H687" s="31"/>
      <c r="I687" s="31"/>
      <c r="J687" s="31"/>
      <c r="K687" s="31"/>
      <c r="L687" s="36">
        <f t="shared" ref="L687:P687" si="271">SUM(L688:L694)</f>
        <v>0</v>
      </c>
      <c r="M687" s="36">
        <f t="shared" si="271"/>
        <v>0</v>
      </c>
      <c r="N687" s="36">
        <f t="shared" si="271"/>
        <v>0</v>
      </c>
      <c r="O687" s="36">
        <f t="shared" si="271"/>
        <v>0</v>
      </c>
      <c r="P687" s="36">
        <f t="shared" si="271"/>
        <v>0</v>
      </c>
    </row>
    <row r="688" spans="1:16" s="1" customFormat="1" ht="30">
      <c r="A688" s="28" t="s">
        <v>40</v>
      </c>
      <c r="B688" s="39" t="s">
        <v>41</v>
      </c>
      <c r="C688" s="24">
        <f t="shared" ref="C688:C694" si="272">E688+F688+G688</f>
        <v>0</v>
      </c>
      <c r="D688" s="30"/>
      <c r="E688" s="30"/>
      <c r="F688" s="30"/>
      <c r="G688" s="30"/>
      <c r="H688" s="31"/>
      <c r="I688" s="31"/>
      <c r="J688" s="31"/>
      <c r="K688" s="31"/>
      <c r="L688" s="24">
        <f t="shared" ref="L688:L694" si="273">N688+O688+P688</f>
        <v>0</v>
      </c>
      <c r="M688" s="30"/>
      <c r="N688" s="30"/>
      <c r="O688" s="30"/>
      <c r="P688" s="30"/>
    </row>
    <row r="689" spans="1:16" s="1" customFormat="1">
      <c r="A689" s="28"/>
      <c r="B689" s="39" t="s">
        <v>42</v>
      </c>
      <c r="C689" s="24">
        <f t="shared" si="272"/>
        <v>0</v>
      </c>
      <c r="D689" s="30"/>
      <c r="E689" s="30"/>
      <c r="F689" s="30"/>
      <c r="G689" s="30"/>
      <c r="H689" s="31"/>
      <c r="I689" s="31"/>
      <c r="J689" s="31"/>
      <c r="K689" s="31"/>
      <c r="L689" s="24">
        <f t="shared" si="273"/>
        <v>0</v>
      </c>
      <c r="M689" s="30"/>
      <c r="N689" s="30"/>
      <c r="O689" s="30"/>
      <c r="P689" s="30"/>
    </row>
    <row r="690" spans="1:16" s="1" customFormat="1">
      <c r="A690" s="28"/>
      <c r="B690" s="39" t="s">
        <v>43</v>
      </c>
      <c r="C690" s="24">
        <f t="shared" si="272"/>
        <v>0</v>
      </c>
      <c r="D690" s="30"/>
      <c r="E690" s="30"/>
      <c r="F690" s="30"/>
      <c r="G690" s="30"/>
      <c r="H690" s="31"/>
      <c r="I690" s="31"/>
      <c r="J690" s="31"/>
      <c r="K690" s="31"/>
      <c r="L690" s="24">
        <f t="shared" si="273"/>
        <v>0</v>
      </c>
      <c r="M690" s="30"/>
      <c r="N690" s="30"/>
      <c r="O690" s="30"/>
      <c r="P690" s="30"/>
    </row>
    <row r="691" spans="1:16" s="1" customFormat="1">
      <c r="A691" s="28"/>
      <c r="B691" s="39" t="s">
        <v>44</v>
      </c>
      <c r="C691" s="24">
        <f t="shared" si="272"/>
        <v>0</v>
      </c>
      <c r="D691" s="30"/>
      <c r="E691" s="30"/>
      <c r="F691" s="30"/>
      <c r="G691" s="30"/>
      <c r="H691" s="31"/>
      <c r="I691" s="31"/>
      <c r="J691" s="31"/>
      <c r="K691" s="31"/>
      <c r="L691" s="24">
        <f t="shared" si="273"/>
        <v>0</v>
      </c>
      <c r="M691" s="30"/>
      <c r="N691" s="30"/>
      <c r="O691" s="30"/>
      <c r="P691" s="30"/>
    </row>
    <row r="692" spans="1:16" s="1" customFormat="1">
      <c r="A692" s="28"/>
      <c r="B692" s="39" t="s">
        <v>45</v>
      </c>
      <c r="C692" s="24">
        <f t="shared" si="272"/>
        <v>0</v>
      </c>
      <c r="D692" s="30"/>
      <c r="E692" s="30"/>
      <c r="F692" s="30"/>
      <c r="G692" s="30"/>
      <c r="H692" s="31"/>
      <c r="I692" s="31"/>
      <c r="J692" s="31"/>
      <c r="K692" s="31"/>
      <c r="L692" s="24">
        <f t="shared" si="273"/>
        <v>0</v>
      </c>
      <c r="M692" s="30"/>
      <c r="N692" s="30"/>
      <c r="O692" s="30"/>
      <c r="P692" s="30"/>
    </row>
    <row r="693" spans="1:16" s="1" customFormat="1" ht="30">
      <c r="A693" s="28"/>
      <c r="B693" s="39" t="s">
        <v>46</v>
      </c>
      <c r="C693" s="24">
        <f t="shared" si="272"/>
        <v>0</v>
      </c>
      <c r="D693" s="30"/>
      <c r="E693" s="30"/>
      <c r="F693" s="30"/>
      <c r="G693" s="30"/>
      <c r="H693" s="31"/>
      <c r="I693" s="31"/>
      <c r="J693" s="31"/>
      <c r="K693" s="31"/>
      <c r="L693" s="24">
        <f t="shared" si="273"/>
        <v>0</v>
      </c>
      <c r="M693" s="30"/>
      <c r="N693" s="30"/>
      <c r="O693" s="30"/>
      <c r="P693" s="30"/>
    </row>
    <row r="694" spans="1:16" s="1" customFormat="1">
      <c r="A694" s="28"/>
      <c r="B694" s="39" t="s">
        <v>47</v>
      </c>
      <c r="C694" s="24">
        <f t="shared" si="272"/>
        <v>0</v>
      </c>
      <c r="D694" s="30"/>
      <c r="E694" s="30"/>
      <c r="F694" s="30"/>
      <c r="G694" s="30"/>
      <c r="H694" s="31"/>
      <c r="I694" s="31"/>
      <c r="J694" s="31"/>
      <c r="K694" s="31"/>
      <c r="L694" s="24">
        <f t="shared" si="273"/>
        <v>0</v>
      </c>
      <c r="M694" s="30"/>
      <c r="N694" s="30"/>
      <c r="O694" s="30"/>
      <c r="P694" s="30"/>
    </row>
    <row r="695" spans="1:16" s="1" customFormat="1" ht="36.75" customHeight="1">
      <c r="A695" s="211" t="s">
        <v>3</v>
      </c>
      <c r="B695" s="213" t="s">
        <v>4</v>
      </c>
      <c r="C695" s="213" t="s">
        <v>5</v>
      </c>
      <c r="D695" s="10" t="s">
        <v>6</v>
      </c>
      <c r="E695" s="215" t="s">
        <v>7</v>
      </c>
      <c r="F695" s="216"/>
      <c r="G695" s="217"/>
      <c r="H695" s="218" t="s">
        <v>8</v>
      </c>
      <c r="I695" s="218"/>
      <c r="J695" s="218"/>
      <c r="K695" s="11"/>
      <c r="L695" s="219" t="s">
        <v>9</v>
      </c>
      <c r="M695" s="12" t="s">
        <v>6</v>
      </c>
      <c r="N695" s="208" t="s">
        <v>10</v>
      </c>
      <c r="O695" s="209"/>
      <c r="P695" s="210"/>
    </row>
    <row r="696" spans="1:16" s="1" customFormat="1" ht="47.25" customHeight="1">
      <c r="A696" s="212"/>
      <c r="B696" s="214"/>
      <c r="C696" s="214"/>
      <c r="D696" s="13" t="s">
        <v>11</v>
      </c>
      <c r="E696" s="13" t="s">
        <v>12</v>
      </c>
      <c r="F696" s="13" t="s">
        <v>13</v>
      </c>
      <c r="G696" s="13" t="s">
        <v>14</v>
      </c>
      <c r="H696" s="14" t="s">
        <v>15</v>
      </c>
      <c r="I696" s="14" t="s">
        <v>16</v>
      </c>
      <c r="J696" s="14" t="s">
        <v>17</v>
      </c>
      <c r="K696" s="14" t="s">
        <v>18</v>
      </c>
      <c r="L696" s="220"/>
      <c r="M696" s="15" t="s">
        <v>11</v>
      </c>
      <c r="N696" s="15" t="s">
        <v>12</v>
      </c>
      <c r="O696" s="15" t="s">
        <v>13</v>
      </c>
      <c r="P696" s="15" t="s">
        <v>14</v>
      </c>
    </row>
    <row r="697" spans="1:16" s="1" customFormat="1">
      <c r="A697" s="80">
        <v>2</v>
      </c>
      <c r="B697" s="17" t="s">
        <v>70</v>
      </c>
      <c r="C697" s="81">
        <f t="shared" ref="C697:G697" si="274">C698+C699+C700+C701+C702+C703+C704+C705+C710+C711+C712+C713+C714+C715+C716+C717</f>
        <v>73921.03</v>
      </c>
      <c r="D697" s="81">
        <f t="shared" si="274"/>
        <v>297701.11</v>
      </c>
      <c r="E697" s="81">
        <f t="shared" si="274"/>
        <v>73921.03</v>
      </c>
      <c r="F697" s="81">
        <f t="shared" si="274"/>
        <v>0</v>
      </c>
      <c r="G697" s="81">
        <f t="shared" si="274"/>
        <v>0</v>
      </c>
      <c r="H697" s="82"/>
      <c r="I697" s="83"/>
      <c r="J697" s="83"/>
      <c r="K697" s="84"/>
      <c r="L697" s="81">
        <f t="shared" ref="L697:P697" si="275">L698+L699+L700+L701+L702+L703+L704+L705+L710+L711+L712+L713+L714+L715+L716+L717</f>
        <v>0</v>
      </c>
      <c r="M697" s="81">
        <f t="shared" si="275"/>
        <v>297701.11</v>
      </c>
      <c r="N697" s="81">
        <f t="shared" si="275"/>
        <v>0</v>
      </c>
      <c r="O697" s="81">
        <f t="shared" si="275"/>
        <v>0</v>
      </c>
      <c r="P697" s="81">
        <f t="shared" si="275"/>
        <v>0</v>
      </c>
    </row>
    <row r="698" spans="1:16" s="5" customFormat="1">
      <c r="A698" s="22"/>
      <c r="B698" s="23" t="s">
        <v>20</v>
      </c>
      <c r="C698" s="24">
        <f t="shared" ref="C698:C704" si="276">E698+F698+G698</f>
        <v>0</v>
      </c>
      <c r="D698" s="25"/>
      <c r="E698" s="25"/>
      <c r="F698" s="25"/>
      <c r="G698" s="25"/>
      <c r="H698" s="26"/>
      <c r="I698" s="24"/>
      <c r="J698" s="24"/>
      <c r="K698" s="27"/>
      <c r="L698" s="24">
        <f t="shared" ref="L698:L704" si="277">N698+O698+P698</f>
        <v>0</v>
      </c>
      <c r="M698" s="25"/>
      <c r="N698" s="25"/>
      <c r="O698" s="25"/>
      <c r="P698" s="25"/>
    </row>
    <row r="699" spans="1:16" s="1" customFormat="1">
      <c r="A699" s="28"/>
      <c r="B699" s="29" t="s">
        <v>21</v>
      </c>
      <c r="C699" s="24">
        <f t="shared" si="276"/>
        <v>0</v>
      </c>
      <c r="D699" s="30">
        <f>16689.22+27491.5</f>
        <v>44180.72</v>
      </c>
      <c r="E699" s="30"/>
      <c r="F699" s="30"/>
      <c r="G699" s="30"/>
      <c r="H699" s="31"/>
      <c r="I699" s="31"/>
      <c r="J699" s="31"/>
      <c r="K699" s="31"/>
      <c r="L699" s="24">
        <f t="shared" si="277"/>
        <v>0</v>
      </c>
      <c r="M699" s="30">
        <f>16689.22+27491.5</f>
        <v>44180.72</v>
      </c>
      <c r="N699" s="30"/>
      <c r="O699" s="30"/>
      <c r="P699" s="30"/>
    </row>
    <row r="700" spans="1:16" s="1" customFormat="1">
      <c r="A700" s="28"/>
      <c r="B700" s="32" t="s">
        <v>22</v>
      </c>
      <c r="C700" s="24">
        <f t="shared" si="276"/>
        <v>0</v>
      </c>
      <c r="D700" s="30"/>
      <c r="E700" s="30"/>
      <c r="F700" s="30"/>
      <c r="G700" s="30"/>
      <c r="H700" s="31"/>
      <c r="I700" s="31"/>
      <c r="J700" s="31"/>
      <c r="K700" s="31"/>
      <c r="L700" s="24">
        <f t="shared" si="277"/>
        <v>0</v>
      </c>
      <c r="M700" s="30"/>
      <c r="N700" s="30"/>
      <c r="O700" s="30"/>
      <c r="P700" s="30"/>
    </row>
    <row r="701" spans="1:16" s="1" customFormat="1">
      <c r="A701" s="28"/>
      <c r="B701" s="32" t="s">
        <v>23</v>
      </c>
      <c r="C701" s="24">
        <f t="shared" si="276"/>
        <v>0</v>
      </c>
      <c r="D701" s="30">
        <v>578</v>
      </c>
      <c r="E701" s="30"/>
      <c r="F701" s="30"/>
      <c r="G701" s="30"/>
      <c r="H701" s="31"/>
      <c r="I701" s="31"/>
      <c r="J701" s="31"/>
      <c r="K701" s="31"/>
      <c r="L701" s="24">
        <f t="shared" si="277"/>
        <v>0</v>
      </c>
      <c r="M701" s="30">
        <v>578</v>
      </c>
      <c r="N701" s="30"/>
      <c r="O701" s="30"/>
      <c r="P701" s="30"/>
    </row>
    <row r="702" spans="1:16" s="1" customFormat="1">
      <c r="A702" s="28"/>
      <c r="B702" s="29" t="s">
        <v>24</v>
      </c>
      <c r="C702" s="24">
        <f t="shared" si="276"/>
        <v>1237.69</v>
      </c>
      <c r="D702" s="30">
        <f>12025.76+765+1224+179.67</f>
        <v>14194.43</v>
      </c>
      <c r="E702" s="30">
        <v>1237.69</v>
      </c>
      <c r="F702" s="30"/>
      <c r="G702" s="30"/>
      <c r="H702" s="31"/>
      <c r="I702" s="31"/>
      <c r="J702" s="31"/>
      <c r="K702" s="31"/>
      <c r="L702" s="24">
        <f t="shared" si="277"/>
        <v>0</v>
      </c>
      <c r="M702" s="30">
        <f>12025.76+765+1224+179.67</f>
        <v>14194.43</v>
      </c>
      <c r="N702" s="30"/>
      <c r="O702" s="30"/>
      <c r="P702" s="30"/>
    </row>
    <row r="703" spans="1:16" s="1" customFormat="1">
      <c r="A703" s="28"/>
      <c r="B703" s="34" t="s">
        <v>25</v>
      </c>
      <c r="C703" s="24">
        <f t="shared" si="276"/>
        <v>0</v>
      </c>
      <c r="D703" s="30">
        <v>1840.47</v>
      </c>
      <c r="E703" s="30"/>
      <c r="F703" s="30"/>
      <c r="G703" s="30"/>
      <c r="H703" s="31"/>
      <c r="I703" s="31"/>
      <c r="J703" s="31"/>
      <c r="K703" s="31"/>
      <c r="L703" s="24">
        <f t="shared" si="277"/>
        <v>0</v>
      </c>
      <c r="M703" s="30">
        <v>1840.47</v>
      </c>
      <c r="N703" s="30"/>
      <c r="O703" s="30"/>
      <c r="P703" s="30"/>
    </row>
    <row r="704" spans="1:16" s="1" customFormat="1">
      <c r="A704" s="28"/>
      <c r="B704" s="32" t="s">
        <v>26</v>
      </c>
      <c r="C704" s="24">
        <f t="shared" si="276"/>
        <v>0</v>
      </c>
      <c r="D704" s="30"/>
      <c r="E704" s="30"/>
      <c r="F704" s="30"/>
      <c r="G704" s="30"/>
      <c r="H704" s="31"/>
      <c r="I704" s="31"/>
      <c r="J704" s="31"/>
      <c r="K704" s="31"/>
      <c r="L704" s="24">
        <f t="shared" si="277"/>
        <v>0</v>
      </c>
      <c r="M704" s="30"/>
      <c r="N704" s="30"/>
      <c r="O704" s="30"/>
      <c r="P704" s="30"/>
    </row>
    <row r="705" spans="1:16" s="1" customFormat="1" ht="30">
      <c r="A705" s="28"/>
      <c r="B705" s="35" t="s">
        <v>27</v>
      </c>
      <c r="C705" s="36">
        <f t="shared" ref="C705:G705" si="278">SUM(C706:C709)</f>
        <v>30487.37</v>
      </c>
      <c r="D705" s="36">
        <f t="shared" si="278"/>
        <v>15776.76</v>
      </c>
      <c r="E705" s="36">
        <f t="shared" si="278"/>
        <v>30487.37</v>
      </c>
      <c r="F705" s="36">
        <f t="shared" si="278"/>
        <v>0</v>
      </c>
      <c r="G705" s="36">
        <f t="shared" si="278"/>
        <v>0</v>
      </c>
      <c r="H705" s="31"/>
      <c r="I705" s="31"/>
      <c r="J705" s="31"/>
      <c r="K705" s="31"/>
      <c r="L705" s="36">
        <f t="shared" ref="L705:P705" si="279">SUM(L706:L709)</f>
        <v>0</v>
      </c>
      <c r="M705" s="36">
        <f t="shared" si="279"/>
        <v>15776.76</v>
      </c>
      <c r="N705" s="36">
        <f t="shared" si="279"/>
        <v>0</v>
      </c>
      <c r="O705" s="36">
        <f t="shared" si="279"/>
        <v>0</v>
      </c>
      <c r="P705" s="36">
        <f t="shared" si="279"/>
        <v>0</v>
      </c>
    </row>
    <row r="706" spans="1:16" s="1" customFormat="1">
      <c r="A706" s="28"/>
      <c r="B706" s="38" t="s">
        <v>28</v>
      </c>
      <c r="C706" s="24">
        <f t="shared" ref="C706:C716" si="280">E706+F706+G706</f>
        <v>30487.37</v>
      </c>
      <c r="D706" s="30"/>
      <c r="E706" s="30">
        <v>30487.37</v>
      </c>
      <c r="F706" s="30"/>
      <c r="G706" s="30"/>
      <c r="H706" s="31"/>
      <c r="I706" s="31"/>
      <c r="J706" s="31"/>
      <c r="K706" s="31"/>
      <c r="L706" s="24">
        <f t="shared" ref="L706:L716" si="281">N706+O706+P706</f>
        <v>0</v>
      </c>
      <c r="M706" s="30"/>
      <c r="N706" s="30"/>
      <c r="O706" s="30"/>
      <c r="P706" s="30"/>
    </row>
    <row r="707" spans="1:16" s="1" customFormat="1">
      <c r="A707" s="28"/>
      <c r="B707" s="38" t="s">
        <v>29</v>
      </c>
      <c r="C707" s="24">
        <f t="shared" si="280"/>
        <v>0</v>
      </c>
      <c r="D707" s="30"/>
      <c r="E707" s="30"/>
      <c r="F707" s="30"/>
      <c r="G707" s="30"/>
      <c r="H707" s="31"/>
      <c r="I707" s="31"/>
      <c r="J707" s="31"/>
      <c r="K707" s="31"/>
      <c r="L707" s="24">
        <f t="shared" si="281"/>
        <v>0</v>
      </c>
      <c r="M707" s="30"/>
      <c r="N707" s="30"/>
      <c r="O707" s="30"/>
      <c r="P707" s="30"/>
    </row>
    <row r="708" spans="1:16" s="1" customFormat="1">
      <c r="A708" s="28"/>
      <c r="B708" s="38" t="s">
        <v>30</v>
      </c>
      <c r="C708" s="24">
        <f t="shared" si="280"/>
        <v>0</v>
      </c>
      <c r="D708" s="30"/>
      <c r="E708" s="30"/>
      <c r="F708" s="30"/>
      <c r="G708" s="30"/>
      <c r="H708" s="31"/>
      <c r="I708" s="31"/>
      <c r="J708" s="31"/>
      <c r="K708" s="31"/>
      <c r="L708" s="24">
        <f t="shared" si="281"/>
        <v>0</v>
      </c>
      <c r="M708" s="30"/>
      <c r="N708" s="30"/>
      <c r="O708" s="30"/>
      <c r="P708" s="30"/>
    </row>
    <row r="709" spans="1:16" s="1" customFormat="1">
      <c r="A709" s="28"/>
      <c r="B709" s="38" t="s">
        <v>31</v>
      </c>
      <c r="C709" s="24">
        <f t="shared" si="280"/>
        <v>0</v>
      </c>
      <c r="D709" s="30">
        <v>15776.76</v>
      </c>
      <c r="E709" s="30"/>
      <c r="F709" s="30"/>
      <c r="G709" s="30"/>
      <c r="H709" s="31"/>
      <c r="I709" s="31"/>
      <c r="J709" s="31"/>
      <c r="K709" s="31"/>
      <c r="L709" s="24">
        <f t="shared" si="281"/>
        <v>0</v>
      </c>
      <c r="M709" s="30">
        <v>15776.76</v>
      </c>
      <c r="N709" s="30"/>
      <c r="O709" s="30"/>
      <c r="P709" s="30"/>
    </row>
    <row r="710" spans="1:16" s="1" customFormat="1" ht="30">
      <c r="A710" s="28"/>
      <c r="B710" s="39" t="s">
        <v>32</v>
      </c>
      <c r="C710" s="24">
        <f t="shared" si="280"/>
        <v>0</v>
      </c>
      <c r="D710" s="30"/>
      <c r="E710" s="30"/>
      <c r="F710" s="30"/>
      <c r="G710" s="30"/>
      <c r="H710" s="31"/>
      <c r="I710" s="31"/>
      <c r="J710" s="31"/>
      <c r="K710" s="31"/>
      <c r="L710" s="24">
        <f t="shared" si="281"/>
        <v>0</v>
      </c>
      <c r="M710" s="30"/>
      <c r="N710" s="30"/>
      <c r="O710" s="30"/>
      <c r="P710" s="30"/>
    </row>
    <row r="711" spans="1:16" s="1" customFormat="1" ht="30">
      <c r="A711" s="28"/>
      <c r="B711" s="39" t="s">
        <v>33</v>
      </c>
      <c r="C711" s="24">
        <f t="shared" si="280"/>
        <v>2300</v>
      </c>
      <c r="D711" s="30">
        <f>20000+1663.13</f>
        <v>21663.13</v>
      </c>
      <c r="E711" s="30">
        <v>2300</v>
      </c>
      <c r="F711" s="30"/>
      <c r="G711" s="30"/>
      <c r="H711" s="31"/>
      <c r="I711" s="31"/>
      <c r="J711" s="31"/>
      <c r="K711" s="31"/>
      <c r="L711" s="24">
        <f t="shared" si="281"/>
        <v>0</v>
      </c>
      <c r="M711" s="30">
        <f>20000+1663.13</f>
        <v>21663.13</v>
      </c>
      <c r="N711" s="30"/>
      <c r="O711" s="30"/>
      <c r="P711" s="30"/>
    </row>
    <row r="712" spans="1:16" s="1" customFormat="1" ht="30">
      <c r="A712" s="28"/>
      <c r="B712" s="40" t="s">
        <v>34</v>
      </c>
      <c r="C712" s="24">
        <f t="shared" si="280"/>
        <v>0</v>
      </c>
      <c r="D712" s="30"/>
      <c r="E712" s="30"/>
      <c r="F712" s="30"/>
      <c r="G712" s="30"/>
      <c r="H712" s="31"/>
      <c r="I712" s="31"/>
      <c r="J712" s="31"/>
      <c r="K712" s="31"/>
      <c r="L712" s="24">
        <f t="shared" si="281"/>
        <v>0</v>
      </c>
      <c r="M712" s="30"/>
      <c r="N712" s="30"/>
      <c r="O712" s="30"/>
      <c r="P712" s="30"/>
    </row>
    <row r="713" spans="1:16" s="1" customFormat="1">
      <c r="A713" s="28"/>
      <c r="B713" s="40" t="s">
        <v>35</v>
      </c>
      <c r="C713" s="24">
        <f t="shared" si="280"/>
        <v>39895.97</v>
      </c>
      <c r="D713" s="30">
        <f>3362+524+70</f>
        <v>3956</v>
      </c>
      <c r="E713" s="30">
        <f>36523.08+3372.89</f>
        <v>39895.97</v>
      </c>
      <c r="F713" s="30"/>
      <c r="G713" s="30"/>
      <c r="H713" s="31"/>
      <c r="I713" s="31"/>
      <c r="J713" s="31"/>
      <c r="K713" s="31"/>
      <c r="L713" s="24">
        <f t="shared" si="281"/>
        <v>0</v>
      </c>
      <c r="M713" s="30">
        <f>3362+524+70</f>
        <v>3956</v>
      </c>
      <c r="N713" s="30"/>
      <c r="O713" s="30"/>
      <c r="P713" s="30"/>
    </row>
    <row r="714" spans="1:16" s="1" customFormat="1" ht="30">
      <c r="A714" s="28"/>
      <c r="B714" s="41" t="s">
        <v>36</v>
      </c>
      <c r="C714" s="24">
        <f t="shared" si="280"/>
        <v>0</v>
      </c>
      <c r="D714" s="30"/>
      <c r="E714" s="30"/>
      <c r="F714" s="30"/>
      <c r="G714" s="30"/>
      <c r="H714" s="31"/>
      <c r="I714" s="31"/>
      <c r="J714" s="31"/>
      <c r="K714" s="31"/>
      <c r="L714" s="24">
        <f t="shared" si="281"/>
        <v>0</v>
      </c>
      <c r="M714" s="30"/>
      <c r="N714" s="30"/>
      <c r="O714" s="30"/>
      <c r="P714" s="30"/>
    </row>
    <row r="715" spans="1:16" s="1" customFormat="1">
      <c r="A715" s="28"/>
      <c r="B715" s="42" t="s">
        <v>37</v>
      </c>
      <c r="C715" s="24">
        <f t="shared" si="280"/>
        <v>0</v>
      </c>
      <c r="D715" s="30">
        <f>6848.2+4219</f>
        <v>11067.2</v>
      </c>
      <c r="E715" s="30"/>
      <c r="F715" s="30"/>
      <c r="G715" s="30"/>
      <c r="H715" s="31"/>
      <c r="I715" s="31"/>
      <c r="J715" s="31"/>
      <c r="K715" s="31"/>
      <c r="L715" s="24">
        <f t="shared" si="281"/>
        <v>0</v>
      </c>
      <c r="M715" s="30">
        <f>6848.2+4219</f>
        <v>11067.2</v>
      </c>
      <c r="N715" s="30"/>
      <c r="O715" s="30"/>
      <c r="P715" s="30"/>
    </row>
    <row r="716" spans="1:16" s="1" customFormat="1" ht="30">
      <c r="A716" s="28"/>
      <c r="B716" s="42" t="s">
        <v>38</v>
      </c>
      <c r="C716" s="24">
        <f t="shared" si="280"/>
        <v>0</v>
      </c>
      <c r="D716" s="30">
        <v>184444.4</v>
      </c>
      <c r="E716" s="30"/>
      <c r="F716" s="30"/>
      <c r="G716" s="30"/>
      <c r="H716" s="31"/>
      <c r="I716" s="31"/>
      <c r="J716" s="31"/>
      <c r="K716" s="31"/>
      <c r="L716" s="24">
        <f t="shared" si="281"/>
        <v>0</v>
      </c>
      <c r="M716" s="30">
        <v>184444.4</v>
      </c>
      <c r="N716" s="30"/>
      <c r="O716" s="30"/>
      <c r="P716" s="30"/>
    </row>
    <row r="717" spans="1:16" s="1" customFormat="1" ht="30">
      <c r="A717" s="28"/>
      <c r="B717" s="43" t="s">
        <v>39</v>
      </c>
      <c r="C717" s="36">
        <f t="shared" ref="C717:G717" si="282">SUM(C718:C724)</f>
        <v>0</v>
      </c>
      <c r="D717" s="36">
        <f t="shared" si="282"/>
        <v>0</v>
      </c>
      <c r="E717" s="36">
        <f t="shared" si="282"/>
        <v>0</v>
      </c>
      <c r="F717" s="36">
        <f t="shared" si="282"/>
        <v>0</v>
      </c>
      <c r="G717" s="36">
        <f t="shared" si="282"/>
        <v>0</v>
      </c>
      <c r="H717" s="31"/>
      <c r="I717" s="31"/>
      <c r="J717" s="31"/>
      <c r="K717" s="31"/>
      <c r="L717" s="36">
        <f t="shared" ref="L717:P717" si="283">SUM(L718:L724)</f>
        <v>0</v>
      </c>
      <c r="M717" s="36">
        <f t="shared" si="283"/>
        <v>0</v>
      </c>
      <c r="N717" s="36">
        <f t="shared" si="283"/>
        <v>0</v>
      </c>
      <c r="O717" s="36">
        <f t="shared" si="283"/>
        <v>0</v>
      </c>
      <c r="P717" s="36">
        <f t="shared" si="283"/>
        <v>0</v>
      </c>
    </row>
    <row r="718" spans="1:16" s="1" customFormat="1" ht="30">
      <c r="A718" s="28" t="s">
        <v>40</v>
      </c>
      <c r="B718" s="39" t="s">
        <v>41</v>
      </c>
      <c r="C718" s="24">
        <f t="shared" ref="C718:C724" si="284">E718+F718+G718</f>
        <v>0</v>
      </c>
      <c r="D718" s="30"/>
      <c r="E718" s="30"/>
      <c r="F718" s="30"/>
      <c r="G718" s="30"/>
      <c r="H718" s="31"/>
      <c r="I718" s="31"/>
      <c r="J718" s="31"/>
      <c r="K718" s="31"/>
      <c r="L718" s="24">
        <f t="shared" ref="L718:L724" si="285">N718+O718+P718</f>
        <v>0</v>
      </c>
      <c r="M718" s="30"/>
      <c r="N718" s="30"/>
      <c r="O718" s="30"/>
      <c r="P718" s="30"/>
    </row>
    <row r="719" spans="1:16" s="1" customFormat="1">
      <c r="A719" s="28"/>
      <c r="B719" s="39" t="s">
        <v>42</v>
      </c>
      <c r="C719" s="24">
        <f t="shared" si="284"/>
        <v>0</v>
      </c>
      <c r="D719" s="30"/>
      <c r="E719" s="30"/>
      <c r="F719" s="30"/>
      <c r="G719" s="30"/>
      <c r="H719" s="31"/>
      <c r="I719" s="31"/>
      <c r="J719" s="31"/>
      <c r="K719" s="31"/>
      <c r="L719" s="24">
        <f t="shared" si="285"/>
        <v>0</v>
      </c>
      <c r="M719" s="30"/>
      <c r="N719" s="30"/>
      <c r="O719" s="30"/>
      <c r="P719" s="30"/>
    </row>
    <row r="720" spans="1:16" s="1" customFormat="1">
      <c r="A720" s="28"/>
      <c r="B720" s="39" t="s">
        <v>43</v>
      </c>
      <c r="C720" s="24">
        <f t="shared" si="284"/>
        <v>0</v>
      </c>
      <c r="D720" s="30"/>
      <c r="E720" s="30"/>
      <c r="F720" s="30"/>
      <c r="G720" s="30"/>
      <c r="H720" s="31"/>
      <c r="I720" s="31"/>
      <c r="J720" s="31"/>
      <c r="K720" s="31"/>
      <c r="L720" s="24">
        <f t="shared" si="285"/>
        <v>0</v>
      </c>
      <c r="M720" s="30"/>
      <c r="N720" s="30"/>
      <c r="O720" s="30"/>
      <c r="P720" s="30"/>
    </row>
    <row r="721" spans="1:16" s="1" customFormat="1">
      <c r="A721" s="28"/>
      <c r="B721" s="39" t="s">
        <v>44</v>
      </c>
      <c r="C721" s="24">
        <f t="shared" si="284"/>
        <v>0</v>
      </c>
      <c r="D721" s="30"/>
      <c r="E721" s="30"/>
      <c r="F721" s="30"/>
      <c r="G721" s="30"/>
      <c r="H721" s="31"/>
      <c r="I721" s="31"/>
      <c r="J721" s="31"/>
      <c r="K721" s="31"/>
      <c r="L721" s="24">
        <f t="shared" si="285"/>
        <v>0</v>
      </c>
      <c r="M721" s="30"/>
      <c r="N721" s="30"/>
      <c r="O721" s="30"/>
      <c r="P721" s="30"/>
    </row>
    <row r="722" spans="1:16" s="1" customFormat="1">
      <c r="A722" s="28"/>
      <c r="B722" s="39" t="s">
        <v>45</v>
      </c>
      <c r="C722" s="24">
        <f t="shared" si="284"/>
        <v>0</v>
      </c>
      <c r="D722" s="30"/>
      <c r="E722" s="30"/>
      <c r="F722" s="30"/>
      <c r="G722" s="30"/>
      <c r="H722" s="31"/>
      <c r="I722" s="31"/>
      <c r="J722" s="31"/>
      <c r="K722" s="31"/>
      <c r="L722" s="24">
        <f t="shared" si="285"/>
        <v>0</v>
      </c>
      <c r="M722" s="30"/>
      <c r="N722" s="30"/>
      <c r="O722" s="30"/>
      <c r="P722" s="30"/>
    </row>
    <row r="723" spans="1:16" s="1" customFormat="1" ht="30">
      <c r="A723" s="28"/>
      <c r="B723" s="39" t="s">
        <v>46</v>
      </c>
      <c r="C723" s="24">
        <f t="shared" si="284"/>
        <v>0</v>
      </c>
      <c r="D723" s="30"/>
      <c r="E723" s="30"/>
      <c r="F723" s="30"/>
      <c r="G723" s="30"/>
      <c r="H723" s="31"/>
      <c r="I723" s="31"/>
      <c r="J723" s="31"/>
      <c r="K723" s="31"/>
      <c r="L723" s="24">
        <f t="shared" si="285"/>
        <v>0</v>
      </c>
      <c r="M723" s="30"/>
      <c r="N723" s="30"/>
      <c r="O723" s="30"/>
      <c r="P723" s="30"/>
    </row>
    <row r="724" spans="1:16" s="1" customFormat="1">
      <c r="A724" s="28"/>
      <c r="B724" s="39" t="s">
        <v>47</v>
      </c>
      <c r="C724" s="24">
        <f t="shared" si="284"/>
        <v>0</v>
      </c>
      <c r="D724" s="30"/>
      <c r="E724" s="30"/>
      <c r="F724" s="30"/>
      <c r="G724" s="30"/>
      <c r="H724" s="31"/>
      <c r="I724" s="31"/>
      <c r="J724" s="31"/>
      <c r="K724" s="31"/>
      <c r="L724" s="24">
        <f t="shared" si="285"/>
        <v>0</v>
      </c>
      <c r="M724" s="30"/>
      <c r="N724" s="30"/>
      <c r="O724" s="30"/>
      <c r="P724" s="30"/>
    </row>
    <row r="725" spans="1:16" s="1" customFormat="1" ht="36.75" customHeight="1">
      <c r="A725" s="211" t="s">
        <v>3</v>
      </c>
      <c r="B725" s="213" t="s">
        <v>4</v>
      </c>
      <c r="C725" s="213" t="s">
        <v>5</v>
      </c>
      <c r="D725" s="10" t="s">
        <v>6</v>
      </c>
      <c r="E725" s="215" t="s">
        <v>7</v>
      </c>
      <c r="F725" s="216"/>
      <c r="G725" s="217"/>
      <c r="H725" s="218" t="s">
        <v>8</v>
      </c>
      <c r="I725" s="218"/>
      <c r="J725" s="218"/>
      <c r="K725" s="11"/>
      <c r="L725" s="219" t="s">
        <v>9</v>
      </c>
      <c r="M725" s="12" t="s">
        <v>6</v>
      </c>
      <c r="N725" s="208" t="s">
        <v>10</v>
      </c>
      <c r="O725" s="209"/>
      <c r="P725" s="210"/>
    </row>
    <row r="726" spans="1:16" s="1" customFormat="1" ht="47.25" customHeight="1">
      <c r="A726" s="212"/>
      <c r="B726" s="214"/>
      <c r="C726" s="214"/>
      <c r="D726" s="13" t="s">
        <v>11</v>
      </c>
      <c r="E726" s="13" t="s">
        <v>12</v>
      </c>
      <c r="F726" s="13" t="s">
        <v>13</v>
      </c>
      <c r="G726" s="13" t="s">
        <v>14</v>
      </c>
      <c r="H726" s="14" t="s">
        <v>15</v>
      </c>
      <c r="I726" s="14" t="s">
        <v>16</v>
      </c>
      <c r="J726" s="14" t="s">
        <v>17</v>
      </c>
      <c r="K726" s="14" t="s">
        <v>18</v>
      </c>
      <c r="L726" s="220"/>
      <c r="M726" s="15" t="s">
        <v>11</v>
      </c>
      <c r="N726" s="15" t="s">
        <v>12</v>
      </c>
      <c r="O726" s="15" t="s">
        <v>13</v>
      </c>
      <c r="P726" s="15" t="s">
        <v>14</v>
      </c>
    </row>
    <row r="727" spans="1:16" s="1" customFormat="1">
      <c r="A727" s="80">
        <v>3</v>
      </c>
      <c r="B727" s="50" t="s">
        <v>71</v>
      </c>
      <c r="C727" s="81">
        <f t="shared" ref="C727:G727" si="286">C728+C729+C730+C731+C732+C733+C734+C735+C740+C741+C742+C743+C744+C745+C746+C747</f>
        <v>168653.78</v>
      </c>
      <c r="D727" s="81">
        <f t="shared" si="286"/>
        <v>3418271.14</v>
      </c>
      <c r="E727" s="81">
        <f t="shared" si="286"/>
        <v>39005.85</v>
      </c>
      <c r="F727" s="81">
        <f t="shared" si="286"/>
        <v>0</v>
      </c>
      <c r="G727" s="81">
        <f t="shared" si="286"/>
        <v>129647.93</v>
      </c>
      <c r="H727" s="82"/>
      <c r="I727" s="83"/>
      <c r="J727" s="83"/>
      <c r="K727" s="84"/>
      <c r="L727" s="81">
        <f t="shared" ref="L727:P727" si="287">L728+L729+L730+L731+L732+L733+L734+L735+L740+L741+L742+L743+L744+L745+L746+L747</f>
        <v>0</v>
      </c>
      <c r="M727" s="81">
        <f t="shared" si="287"/>
        <v>3418271.14</v>
      </c>
      <c r="N727" s="81">
        <f t="shared" si="287"/>
        <v>0</v>
      </c>
      <c r="O727" s="81">
        <f t="shared" si="287"/>
        <v>0</v>
      </c>
      <c r="P727" s="81">
        <f t="shared" si="287"/>
        <v>0</v>
      </c>
    </row>
    <row r="728" spans="1:16" s="1" customFormat="1">
      <c r="A728" s="22"/>
      <c r="B728" s="23" t="s">
        <v>20</v>
      </c>
      <c r="C728" s="24">
        <f t="shared" ref="C728:C734" si="288">E728+F728+G728</f>
        <v>0</v>
      </c>
      <c r="D728" s="25"/>
      <c r="E728" s="25"/>
      <c r="F728" s="25"/>
      <c r="G728" s="25"/>
      <c r="H728" s="26"/>
      <c r="I728" s="24"/>
      <c r="J728" s="24"/>
      <c r="K728" s="27"/>
      <c r="L728" s="24">
        <f t="shared" ref="L728:L734" si="289">N728+O728+P728</f>
        <v>0</v>
      </c>
      <c r="M728" s="25"/>
      <c r="N728" s="25"/>
      <c r="O728" s="25"/>
      <c r="P728" s="25"/>
    </row>
    <row r="729" spans="1:16" s="1" customFormat="1">
      <c r="A729" s="28"/>
      <c r="B729" s="29" t="s">
        <v>21</v>
      </c>
      <c r="C729" s="24">
        <f t="shared" si="288"/>
        <v>36445.61</v>
      </c>
      <c r="D729" s="30"/>
      <c r="E729" s="30">
        <v>36445.61</v>
      </c>
      <c r="F729" s="30"/>
      <c r="G729" s="30"/>
      <c r="H729" s="31"/>
      <c r="I729" s="31"/>
      <c r="J729" s="31"/>
      <c r="K729" s="31"/>
      <c r="L729" s="24">
        <f t="shared" si="289"/>
        <v>0</v>
      </c>
      <c r="M729" s="30"/>
      <c r="N729" s="30"/>
      <c r="O729" s="30"/>
      <c r="P729" s="30"/>
    </row>
    <row r="730" spans="1:16" s="1" customFormat="1">
      <c r="A730" s="28"/>
      <c r="B730" s="32" t="s">
        <v>22</v>
      </c>
      <c r="C730" s="24">
        <f t="shared" si="288"/>
        <v>0</v>
      </c>
      <c r="D730" s="30"/>
      <c r="E730" s="30"/>
      <c r="F730" s="30"/>
      <c r="G730" s="30"/>
      <c r="H730" s="31"/>
      <c r="I730" s="31"/>
      <c r="J730" s="31"/>
      <c r="K730" s="31"/>
      <c r="L730" s="24">
        <f t="shared" si="289"/>
        <v>0</v>
      </c>
      <c r="M730" s="30"/>
      <c r="N730" s="30"/>
      <c r="O730" s="30"/>
      <c r="P730" s="30"/>
    </row>
    <row r="731" spans="1:16" s="1" customFormat="1">
      <c r="A731" s="28"/>
      <c r="B731" s="32" t="s">
        <v>23</v>
      </c>
      <c r="C731" s="24">
        <f t="shared" si="288"/>
        <v>2560.2399999999998</v>
      </c>
      <c r="D731" s="30"/>
      <c r="E731" s="30">
        <v>2560.2399999999998</v>
      </c>
      <c r="F731" s="30"/>
      <c r="G731" s="30"/>
      <c r="H731" s="31"/>
      <c r="I731" s="31"/>
      <c r="J731" s="31"/>
      <c r="K731" s="31"/>
      <c r="L731" s="24">
        <f t="shared" si="289"/>
        <v>0</v>
      </c>
      <c r="M731" s="30"/>
      <c r="N731" s="30"/>
      <c r="O731" s="30"/>
      <c r="P731" s="30"/>
    </row>
    <row r="732" spans="1:16" s="1" customFormat="1">
      <c r="A732" s="28"/>
      <c r="B732" s="29" t="s">
        <v>24</v>
      </c>
      <c r="C732" s="24">
        <f t="shared" si="288"/>
        <v>0</v>
      </c>
      <c r="D732" s="30">
        <f>873.11+270483.44</f>
        <v>271356.55</v>
      </c>
      <c r="E732" s="30"/>
      <c r="F732" s="30"/>
      <c r="G732" s="30"/>
      <c r="H732" s="31"/>
      <c r="I732" s="31"/>
      <c r="J732" s="31"/>
      <c r="K732" s="31"/>
      <c r="L732" s="24">
        <f t="shared" si="289"/>
        <v>0</v>
      </c>
      <c r="M732" s="30">
        <f>873.11+270483.44</f>
        <v>271356.55</v>
      </c>
      <c r="N732" s="30"/>
      <c r="O732" s="30"/>
      <c r="P732" s="30"/>
    </row>
    <row r="733" spans="1:16" s="1" customFormat="1">
      <c r="A733" s="28"/>
      <c r="B733" s="34" t="s">
        <v>25</v>
      </c>
      <c r="C733" s="24">
        <f t="shared" si="288"/>
        <v>0</v>
      </c>
      <c r="D733" s="30">
        <f>13733.95+16689.91</f>
        <v>30423.86</v>
      </c>
      <c r="E733" s="30"/>
      <c r="F733" s="30"/>
      <c r="G733" s="30"/>
      <c r="H733" s="31"/>
      <c r="I733" s="31"/>
      <c r="J733" s="31"/>
      <c r="K733" s="31"/>
      <c r="L733" s="24">
        <f t="shared" si="289"/>
        <v>0</v>
      </c>
      <c r="M733" s="30">
        <f>13733.95+16689.91</f>
        <v>30423.86</v>
      </c>
      <c r="N733" s="30"/>
      <c r="O733" s="30"/>
      <c r="P733" s="30"/>
    </row>
    <row r="734" spans="1:16" s="1" customFormat="1">
      <c r="A734" s="28"/>
      <c r="B734" s="32" t="s">
        <v>26</v>
      </c>
      <c r="C734" s="24">
        <f t="shared" si="288"/>
        <v>0</v>
      </c>
      <c r="D734" s="30">
        <v>7878.2</v>
      </c>
      <c r="E734" s="30"/>
      <c r="F734" s="30"/>
      <c r="G734" s="30"/>
      <c r="H734" s="31"/>
      <c r="I734" s="31"/>
      <c r="J734" s="31"/>
      <c r="K734" s="31"/>
      <c r="L734" s="24">
        <f t="shared" si="289"/>
        <v>0</v>
      </c>
      <c r="M734" s="30">
        <v>7878.2</v>
      </c>
      <c r="N734" s="30"/>
      <c r="O734" s="30"/>
      <c r="P734" s="30"/>
    </row>
    <row r="735" spans="1:16" s="1" customFormat="1" ht="30">
      <c r="A735" s="28"/>
      <c r="B735" s="35" t="s">
        <v>27</v>
      </c>
      <c r="C735" s="36">
        <f t="shared" ref="C735:G735" si="290">SUM(C736:C739)</f>
        <v>0</v>
      </c>
      <c r="D735" s="36">
        <f t="shared" si="290"/>
        <v>403398.29000000004</v>
      </c>
      <c r="E735" s="36">
        <f t="shared" si="290"/>
        <v>0</v>
      </c>
      <c r="F735" s="36">
        <f t="shared" si="290"/>
        <v>0</v>
      </c>
      <c r="G735" s="36">
        <f t="shared" si="290"/>
        <v>0</v>
      </c>
      <c r="H735" s="31"/>
      <c r="I735" s="31"/>
      <c r="J735" s="31"/>
      <c r="K735" s="31"/>
      <c r="L735" s="36">
        <f t="shared" ref="L735:P735" si="291">SUM(L736:L739)</f>
        <v>0</v>
      </c>
      <c r="M735" s="36">
        <f t="shared" si="291"/>
        <v>403398.29000000004</v>
      </c>
      <c r="N735" s="36">
        <f t="shared" si="291"/>
        <v>0</v>
      </c>
      <c r="O735" s="36">
        <f t="shared" si="291"/>
        <v>0</v>
      </c>
      <c r="P735" s="36">
        <f t="shared" si="291"/>
        <v>0</v>
      </c>
    </row>
    <row r="736" spans="1:16" s="1" customFormat="1">
      <c r="A736" s="28"/>
      <c r="B736" s="38" t="s">
        <v>28</v>
      </c>
      <c r="C736" s="24">
        <f t="shared" ref="C736:C746" si="292">E736+F736+G736</f>
        <v>0</v>
      </c>
      <c r="D736" s="30">
        <v>187960.39</v>
      </c>
      <c r="E736" s="30"/>
      <c r="F736" s="30"/>
      <c r="G736" s="30"/>
      <c r="H736" s="31"/>
      <c r="I736" s="31"/>
      <c r="J736" s="31"/>
      <c r="K736" s="31"/>
      <c r="L736" s="24">
        <f t="shared" ref="L736:L746" si="293">N736+O736+P736</f>
        <v>0</v>
      </c>
      <c r="M736" s="30">
        <v>187960.39</v>
      </c>
      <c r="N736" s="30"/>
      <c r="O736" s="30"/>
      <c r="P736" s="30"/>
    </row>
    <row r="737" spans="1:16" s="1" customFormat="1">
      <c r="A737" s="28"/>
      <c r="B737" s="38" t="s">
        <v>29</v>
      </c>
      <c r="C737" s="24">
        <f t="shared" si="292"/>
        <v>0</v>
      </c>
      <c r="D737" s="30">
        <v>84429.21</v>
      </c>
      <c r="E737" s="30"/>
      <c r="F737" s="30"/>
      <c r="G737" s="30"/>
      <c r="H737" s="31"/>
      <c r="I737" s="31"/>
      <c r="J737" s="31"/>
      <c r="K737" s="31"/>
      <c r="L737" s="24">
        <f t="shared" si="293"/>
        <v>0</v>
      </c>
      <c r="M737" s="30">
        <v>84429.21</v>
      </c>
      <c r="N737" s="30"/>
      <c r="O737" s="30"/>
      <c r="P737" s="30"/>
    </row>
    <row r="738" spans="1:16" s="1" customFormat="1">
      <c r="A738" s="28"/>
      <c r="B738" s="38" t="s">
        <v>30</v>
      </c>
      <c r="C738" s="24">
        <f t="shared" si="292"/>
        <v>0</v>
      </c>
      <c r="D738" s="30">
        <f>17512.53+56280.18</f>
        <v>73792.709999999992</v>
      </c>
      <c r="E738" s="30"/>
      <c r="F738" s="30"/>
      <c r="G738" s="30"/>
      <c r="H738" s="31"/>
      <c r="I738" s="31"/>
      <c r="J738" s="31"/>
      <c r="K738" s="31"/>
      <c r="L738" s="24">
        <f t="shared" si="293"/>
        <v>0</v>
      </c>
      <c r="M738" s="30">
        <f>17512.53+56280.18</f>
        <v>73792.709999999992</v>
      </c>
      <c r="N738" s="30"/>
      <c r="O738" s="30"/>
      <c r="P738" s="30"/>
    </row>
    <row r="739" spans="1:16" s="1" customFormat="1">
      <c r="A739" s="28"/>
      <c r="B739" s="38" t="s">
        <v>31</v>
      </c>
      <c r="C739" s="24">
        <f t="shared" si="292"/>
        <v>0</v>
      </c>
      <c r="D739" s="30">
        <v>57215.98</v>
      </c>
      <c r="E739" s="30"/>
      <c r="F739" s="30"/>
      <c r="G739" s="30"/>
      <c r="H739" s="31"/>
      <c r="I739" s="31"/>
      <c r="J739" s="31"/>
      <c r="K739" s="31"/>
      <c r="L739" s="24">
        <f t="shared" si="293"/>
        <v>0</v>
      </c>
      <c r="M739" s="30">
        <v>57215.98</v>
      </c>
      <c r="N739" s="30"/>
      <c r="O739" s="30"/>
      <c r="P739" s="30"/>
    </row>
    <row r="740" spans="1:16" s="1" customFormat="1" ht="30">
      <c r="A740" s="28"/>
      <c r="B740" s="39" t="s">
        <v>32</v>
      </c>
      <c r="C740" s="24">
        <f t="shared" si="292"/>
        <v>0</v>
      </c>
      <c r="D740" s="30"/>
      <c r="E740" s="30"/>
      <c r="F740" s="30"/>
      <c r="G740" s="30"/>
      <c r="H740" s="31"/>
      <c r="I740" s="31"/>
      <c r="J740" s="31"/>
      <c r="K740" s="31"/>
      <c r="L740" s="24">
        <f t="shared" si="293"/>
        <v>0</v>
      </c>
      <c r="M740" s="30"/>
      <c r="N740" s="30"/>
      <c r="O740" s="30"/>
      <c r="P740" s="30"/>
    </row>
    <row r="741" spans="1:16" s="1" customFormat="1" ht="30">
      <c r="A741" s="28"/>
      <c r="B741" s="39" t="s">
        <v>33</v>
      </c>
      <c r="C741" s="24">
        <f t="shared" si="292"/>
        <v>0</v>
      </c>
      <c r="D741" s="30">
        <v>25670.07</v>
      </c>
      <c r="E741" s="30"/>
      <c r="F741" s="30"/>
      <c r="G741" s="30"/>
      <c r="H741" s="31"/>
      <c r="I741" s="31"/>
      <c r="J741" s="31"/>
      <c r="K741" s="31"/>
      <c r="L741" s="24">
        <f t="shared" si="293"/>
        <v>0</v>
      </c>
      <c r="M741" s="30">
        <v>25670.07</v>
      </c>
      <c r="N741" s="30"/>
      <c r="O741" s="30"/>
      <c r="P741" s="30"/>
    </row>
    <row r="742" spans="1:16" s="1" customFormat="1" ht="30">
      <c r="A742" s="28"/>
      <c r="B742" s="40" t="s">
        <v>34</v>
      </c>
      <c r="C742" s="24">
        <f t="shared" si="292"/>
        <v>0</v>
      </c>
      <c r="D742" s="30"/>
      <c r="E742" s="30"/>
      <c r="F742" s="30"/>
      <c r="G742" s="30"/>
      <c r="H742" s="31"/>
      <c r="I742" s="31"/>
      <c r="J742" s="31"/>
      <c r="K742" s="31"/>
      <c r="L742" s="24">
        <f t="shared" si="293"/>
        <v>0</v>
      </c>
      <c r="M742" s="30"/>
      <c r="N742" s="30"/>
      <c r="O742" s="30"/>
      <c r="P742" s="30"/>
    </row>
    <row r="743" spans="1:16" s="1" customFormat="1">
      <c r="A743" s="28"/>
      <c r="B743" s="40" t="s">
        <v>35</v>
      </c>
      <c r="C743" s="24">
        <f t="shared" si="292"/>
        <v>0</v>
      </c>
      <c r="D743" s="30">
        <f>36500+50591.92+50000+773.86</f>
        <v>137865.77999999997</v>
      </c>
      <c r="E743" s="30"/>
      <c r="F743" s="30"/>
      <c r="G743" s="30"/>
      <c r="H743" s="31"/>
      <c r="I743" s="31"/>
      <c r="J743" s="31"/>
      <c r="K743" s="31"/>
      <c r="L743" s="24">
        <f t="shared" si="293"/>
        <v>0</v>
      </c>
      <c r="M743" s="30">
        <f>36500+50591.92+50000+773.86</f>
        <v>137865.77999999997</v>
      </c>
      <c r="N743" s="30"/>
      <c r="O743" s="30"/>
      <c r="P743" s="30"/>
    </row>
    <row r="744" spans="1:16" s="1" customFormat="1" ht="30">
      <c r="A744" s="28"/>
      <c r="B744" s="41" t="s">
        <v>36</v>
      </c>
      <c r="C744" s="24">
        <f t="shared" si="292"/>
        <v>0</v>
      </c>
      <c r="D744" s="30"/>
      <c r="E744" s="30"/>
      <c r="F744" s="30"/>
      <c r="G744" s="30"/>
      <c r="H744" s="31"/>
      <c r="I744" s="31"/>
      <c r="J744" s="31"/>
      <c r="K744" s="31"/>
      <c r="L744" s="24">
        <f t="shared" si="293"/>
        <v>0</v>
      </c>
      <c r="M744" s="30"/>
      <c r="N744" s="30"/>
      <c r="O744" s="30"/>
      <c r="P744" s="30"/>
    </row>
    <row r="745" spans="1:16" s="1" customFormat="1">
      <c r="A745" s="28"/>
      <c r="B745" s="42" t="s">
        <v>37</v>
      </c>
      <c r="C745" s="24">
        <f t="shared" si="292"/>
        <v>0</v>
      </c>
      <c r="D745" s="30"/>
      <c r="E745" s="30"/>
      <c r="F745" s="30"/>
      <c r="G745" s="30"/>
      <c r="H745" s="31"/>
      <c r="I745" s="31"/>
      <c r="J745" s="31"/>
      <c r="K745" s="31"/>
      <c r="L745" s="24">
        <f t="shared" si="293"/>
        <v>0</v>
      </c>
      <c r="M745" s="30"/>
      <c r="N745" s="30"/>
      <c r="O745" s="30"/>
      <c r="P745" s="30"/>
    </row>
    <row r="746" spans="1:16" s="1" customFormat="1" ht="30">
      <c r="A746" s="28"/>
      <c r="B746" s="42" t="s">
        <v>38</v>
      </c>
      <c r="C746" s="24">
        <f t="shared" si="292"/>
        <v>0</v>
      </c>
      <c r="D746" s="30">
        <f>978533.6+198880+115238+96876+800665+139375.79+33110</f>
        <v>2362678.39</v>
      </c>
      <c r="E746" s="30"/>
      <c r="F746" s="30"/>
      <c r="G746" s="30"/>
      <c r="H746" s="31"/>
      <c r="I746" s="31"/>
      <c r="J746" s="31"/>
      <c r="K746" s="31"/>
      <c r="L746" s="24">
        <f t="shared" si="293"/>
        <v>0</v>
      </c>
      <c r="M746" s="30">
        <f>978533.6+198880+115238+96876+800665+139375.79+33110</f>
        <v>2362678.39</v>
      </c>
      <c r="N746" s="30"/>
      <c r="O746" s="30"/>
      <c r="P746" s="30"/>
    </row>
    <row r="747" spans="1:16" s="1" customFormat="1" ht="30">
      <c r="A747" s="28"/>
      <c r="B747" s="43" t="s">
        <v>39</v>
      </c>
      <c r="C747" s="36">
        <f t="shared" ref="C747:G747" si="294">SUM(C748:C754)</f>
        <v>129647.93</v>
      </c>
      <c r="D747" s="36">
        <f t="shared" si="294"/>
        <v>179000</v>
      </c>
      <c r="E747" s="36">
        <f t="shared" si="294"/>
        <v>0</v>
      </c>
      <c r="F747" s="36">
        <f t="shared" si="294"/>
        <v>0</v>
      </c>
      <c r="G747" s="36">
        <f t="shared" si="294"/>
        <v>129647.93</v>
      </c>
      <c r="H747" s="31"/>
      <c r="I747" s="31"/>
      <c r="J747" s="31"/>
      <c r="K747" s="31"/>
      <c r="L747" s="36">
        <f t="shared" ref="L747:P747" si="295">SUM(L748:L754)</f>
        <v>0</v>
      </c>
      <c r="M747" s="36">
        <f t="shared" si="295"/>
        <v>179000</v>
      </c>
      <c r="N747" s="36">
        <f t="shared" si="295"/>
        <v>0</v>
      </c>
      <c r="O747" s="36">
        <f t="shared" si="295"/>
        <v>0</v>
      </c>
      <c r="P747" s="36">
        <f t="shared" si="295"/>
        <v>0</v>
      </c>
    </row>
    <row r="748" spans="1:16" s="1" customFormat="1" ht="30">
      <c r="A748" s="28" t="s">
        <v>40</v>
      </c>
      <c r="B748" s="39" t="s">
        <v>41</v>
      </c>
      <c r="C748" s="24">
        <f t="shared" ref="C748:C754" si="296">E748+F748+G748</f>
        <v>0</v>
      </c>
      <c r="D748" s="30"/>
      <c r="E748" s="30"/>
      <c r="F748" s="30"/>
      <c r="G748" s="30"/>
      <c r="H748" s="31"/>
      <c r="I748" s="31"/>
      <c r="J748" s="31"/>
      <c r="K748" s="31"/>
      <c r="L748" s="24">
        <f t="shared" ref="L748:L754" si="297">N748+O748+P748</f>
        <v>0</v>
      </c>
      <c r="M748" s="30"/>
      <c r="N748" s="30"/>
      <c r="O748" s="30"/>
      <c r="P748" s="30"/>
    </row>
    <row r="749" spans="1:16" s="1" customFormat="1">
      <c r="A749" s="28"/>
      <c r="B749" s="39" t="s">
        <v>42</v>
      </c>
      <c r="C749" s="24">
        <f t="shared" si="296"/>
        <v>0</v>
      </c>
      <c r="D749" s="30"/>
      <c r="E749" s="30"/>
      <c r="F749" s="30"/>
      <c r="G749" s="30"/>
      <c r="H749" s="31"/>
      <c r="I749" s="31"/>
      <c r="J749" s="31"/>
      <c r="K749" s="31"/>
      <c r="L749" s="24">
        <f t="shared" si="297"/>
        <v>0</v>
      </c>
      <c r="M749" s="30"/>
      <c r="N749" s="30"/>
      <c r="O749" s="30"/>
      <c r="P749" s="30"/>
    </row>
    <row r="750" spans="1:16" s="1" customFormat="1">
      <c r="A750" s="28"/>
      <c r="B750" s="39" t="s">
        <v>43</v>
      </c>
      <c r="C750" s="24">
        <f t="shared" si="296"/>
        <v>0</v>
      </c>
      <c r="D750" s="30"/>
      <c r="E750" s="30"/>
      <c r="F750" s="30"/>
      <c r="G750" s="30"/>
      <c r="H750" s="31"/>
      <c r="I750" s="31"/>
      <c r="J750" s="31"/>
      <c r="K750" s="31"/>
      <c r="L750" s="24">
        <f t="shared" si="297"/>
        <v>0</v>
      </c>
      <c r="M750" s="30"/>
      <c r="N750" s="30"/>
      <c r="O750" s="30"/>
      <c r="P750" s="30"/>
    </row>
    <row r="751" spans="1:16" s="1" customFormat="1">
      <c r="A751" s="28"/>
      <c r="B751" s="39" t="s">
        <v>44</v>
      </c>
      <c r="C751" s="24">
        <f t="shared" si="296"/>
        <v>129647.93</v>
      </c>
      <c r="D751" s="30"/>
      <c r="E751" s="30"/>
      <c r="F751" s="30"/>
      <c r="G751" s="30">
        <v>129647.93</v>
      </c>
      <c r="H751" s="31"/>
      <c r="I751" s="31"/>
      <c r="J751" s="31"/>
      <c r="K751" s="31"/>
      <c r="L751" s="24">
        <f t="shared" si="297"/>
        <v>0</v>
      </c>
      <c r="M751" s="30"/>
      <c r="N751" s="30"/>
      <c r="O751" s="30"/>
      <c r="P751" s="30"/>
    </row>
    <row r="752" spans="1:16" s="1" customFormat="1">
      <c r="A752" s="28"/>
      <c r="B752" s="39" t="s">
        <v>45</v>
      </c>
      <c r="C752" s="24">
        <f t="shared" si="296"/>
        <v>0</v>
      </c>
      <c r="D752" s="30"/>
      <c r="E752" s="30"/>
      <c r="F752" s="30"/>
      <c r="G752" s="30"/>
      <c r="H752" s="31"/>
      <c r="I752" s="31"/>
      <c r="J752" s="31"/>
      <c r="K752" s="31"/>
      <c r="L752" s="24">
        <f t="shared" si="297"/>
        <v>0</v>
      </c>
      <c r="M752" s="30"/>
      <c r="N752" s="30"/>
      <c r="O752" s="30"/>
      <c r="P752" s="30"/>
    </row>
    <row r="753" spans="1:16" s="1" customFormat="1" ht="30">
      <c r="A753" s="28"/>
      <c r="B753" s="39" t="s">
        <v>46</v>
      </c>
      <c r="C753" s="24">
        <f t="shared" si="296"/>
        <v>0</v>
      </c>
      <c r="D753" s="30"/>
      <c r="E753" s="30"/>
      <c r="F753" s="30"/>
      <c r="G753" s="30"/>
      <c r="H753" s="31"/>
      <c r="I753" s="31"/>
      <c r="J753" s="31"/>
      <c r="K753" s="31"/>
      <c r="L753" s="24">
        <f t="shared" si="297"/>
        <v>0</v>
      </c>
      <c r="M753" s="30"/>
      <c r="N753" s="30"/>
      <c r="O753" s="30"/>
      <c r="P753" s="30"/>
    </row>
    <row r="754" spans="1:16" s="1" customFormat="1">
      <c r="A754" s="28"/>
      <c r="B754" s="39" t="s">
        <v>47</v>
      </c>
      <c r="C754" s="24">
        <f t="shared" si="296"/>
        <v>0</v>
      </c>
      <c r="D754" s="30">
        <v>179000</v>
      </c>
      <c r="E754" s="30"/>
      <c r="F754" s="30"/>
      <c r="G754" s="30"/>
      <c r="H754" s="31"/>
      <c r="I754" s="31"/>
      <c r="J754" s="31"/>
      <c r="K754" s="31"/>
      <c r="L754" s="24">
        <f t="shared" si="297"/>
        <v>0</v>
      </c>
      <c r="M754" s="30">
        <v>179000</v>
      </c>
      <c r="N754" s="30"/>
      <c r="O754" s="30"/>
      <c r="P754" s="30"/>
    </row>
    <row r="755" spans="1:16" s="1" customFormat="1" ht="36.75" customHeight="1">
      <c r="A755" s="211" t="s">
        <v>3</v>
      </c>
      <c r="B755" s="213" t="s">
        <v>4</v>
      </c>
      <c r="C755" s="213" t="s">
        <v>5</v>
      </c>
      <c r="D755" s="10" t="s">
        <v>6</v>
      </c>
      <c r="E755" s="215" t="s">
        <v>7</v>
      </c>
      <c r="F755" s="216"/>
      <c r="G755" s="217"/>
      <c r="H755" s="218" t="s">
        <v>8</v>
      </c>
      <c r="I755" s="218"/>
      <c r="J755" s="218"/>
      <c r="K755" s="11"/>
      <c r="L755" s="219" t="s">
        <v>9</v>
      </c>
      <c r="M755" s="12" t="s">
        <v>6</v>
      </c>
      <c r="N755" s="208" t="s">
        <v>10</v>
      </c>
      <c r="O755" s="209"/>
      <c r="P755" s="210"/>
    </row>
    <row r="756" spans="1:16" s="1" customFormat="1" ht="47.25" customHeight="1">
      <c r="A756" s="212"/>
      <c r="B756" s="214"/>
      <c r="C756" s="214"/>
      <c r="D756" s="13" t="s">
        <v>11</v>
      </c>
      <c r="E756" s="13" t="s">
        <v>12</v>
      </c>
      <c r="F756" s="13" t="s">
        <v>13</v>
      </c>
      <c r="G756" s="13" t="s">
        <v>14</v>
      </c>
      <c r="H756" s="14" t="s">
        <v>15</v>
      </c>
      <c r="I756" s="14" t="s">
        <v>16</v>
      </c>
      <c r="J756" s="14" t="s">
        <v>17</v>
      </c>
      <c r="K756" s="14" t="s">
        <v>18</v>
      </c>
      <c r="L756" s="220"/>
      <c r="M756" s="15" t="s">
        <v>11</v>
      </c>
      <c r="N756" s="15" t="s">
        <v>12</v>
      </c>
      <c r="O756" s="15" t="s">
        <v>13</v>
      </c>
      <c r="P756" s="15" t="s">
        <v>14</v>
      </c>
    </row>
    <row r="757" spans="1:16" s="1" customFormat="1">
      <c r="A757" s="80">
        <v>4</v>
      </c>
      <c r="B757" s="17" t="s">
        <v>72</v>
      </c>
      <c r="C757" s="81">
        <f t="shared" ref="C757:G757" si="298">C758+C759+C760+C761+C762+C763+C764+C765+C770+C771+C772+C773+C774+C775+C776+C777</f>
        <v>218901.25</v>
      </c>
      <c r="D757" s="81">
        <f t="shared" si="298"/>
        <v>1392788.05</v>
      </c>
      <c r="E757" s="81">
        <f t="shared" si="298"/>
        <v>218901.25</v>
      </c>
      <c r="F757" s="81">
        <f t="shared" si="298"/>
        <v>0</v>
      </c>
      <c r="G757" s="81">
        <f t="shared" si="298"/>
        <v>0</v>
      </c>
      <c r="H757" s="82"/>
      <c r="I757" s="83"/>
      <c r="J757" s="83"/>
      <c r="K757" s="84"/>
      <c r="L757" s="81">
        <f t="shared" ref="L757:P757" si="299">L758+L759+L760+L761+L762+L763+L764+L765+L770+L771+L772+L773+L774+L775+L776+L777</f>
        <v>0</v>
      </c>
      <c r="M757" s="81">
        <f t="shared" si="299"/>
        <v>1392788.05</v>
      </c>
      <c r="N757" s="81">
        <f t="shared" si="299"/>
        <v>0</v>
      </c>
      <c r="O757" s="81">
        <f t="shared" si="299"/>
        <v>0</v>
      </c>
      <c r="P757" s="81">
        <f t="shared" si="299"/>
        <v>0</v>
      </c>
    </row>
    <row r="758" spans="1:16" s="1" customFormat="1">
      <c r="A758" s="22"/>
      <c r="B758" s="23" t="s">
        <v>20</v>
      </c>
      <c r="C758" s="24">
        <f t="shared" ref="C758:C764" si="300">E758+F758+G758</f>
        <v>0</v>
      </c>
      <c r="D758" s="25"/>
      <c r="E758" s="25"/>
      <c r="F758" s="25"/>
      <c r="G758" s="25"/>
      <c r="H758" s="26"/>
      <c r="I758" s="24"/>
      <c r="J758" s="24"/>
      <c r="K758" s="27"/>
      <c r="L758" s="24">
        <f t="shared" ref="L758:L764" si="301">N758+O758+P758</f>
        <v>0</v>
      </c>
      <c r="M758" s="25"/>
      <c r="N758" s="25"/>
      <c r="O758" s="25"/>
      <c r="P758" s="25"/>
    </row>
    <row r="759" spans="1:16" s="1" customFormat="1">
      <c r="A759" s="28"/>
      <c r="B759" s="29" t="s">
        <v>21</v>
      </c>
      <c r="C759" s="24">
        <f t="shared" si="300"/>
        <v>4432.38</v>
      </c>
      <c r="D759" s="30"/>
      <c r="E759" s="30">
        <v>4432.38</v>
      </c>
      <c r="F759" s="30"/>
      <c r="G759" s="30"/>
      <c r="H759" s="31"/>
      <c r="I759" s="31"/>
      <c r="J759" s="31"/>
      <c r="K759" s="31"/>
      <c r="L759" s="24">
        <f t="shared" si="301"/>
        <v>0</v>
      </c>
      <c r="M759" s="30"/>
      <c r="N759" s="30"/>
      <c r="O759" s="30"/>
      <c r="P759" s="30"/>
    </row>
    <row r="760" spans="1:16" s="1" customFormat="1">
      <c r="A760" s="28"/>
      <c r="B760" s="32" t="s">
        <v>22</v>
      </c>
      <c r="C760" s="24">
        <f t="shared" si="300"/>
        <v>0</v>
      </c>
      <c r="D760" s="30"/>
      <c r="E760" s="30"/>
      <c r="F760" s="30"/>
      <c r="G760" s="30"/>
      <c r="H760" s="31"/>
      <c r="I760" s="31"/>
      <c r="J760" s="31"/>
      <c r="K760" s="31"/>
      <c r="L760" s="24">
        <f t="shared" si="301"/>
        <v>0</v>
      </c>
      <c r="M760" s="30"/>
      <c r="N760" s="30"/>
      <c r="O760" s="30"/>
      <c r="P760" s="30"/>
    </row>
    <row r="761" spans="1:16" s="1" customFormat="1">
      <c r="A761" s="28"/>
      <c r="B761" s="32" t="s">
        <v>23</v>
      </c>
      <c r="C761" s="24">
        <f t="shared" si="300"/>
        <v>0</v>
      </c>
      <c r="D761" s="30"/>
      <c r="E761" s="30"/>
      <c r="F761" s="30"/>
      <c r="G761" s="30"/>
      <c r="H761" s="31"/>
      <c r="I761" s="31"/>
      <c r="J761" s="31"/>
      <c r="K761" s="31"/>
      <c r="L761" s="24">
        <f t="shared" si="301"/>
        <v>0</v>
      </c>
      <c r="M761" s="30"/>
      <c r="N761" s="30"/>
      <c r="O761" s="30"/>
      <c r="P761" s="30"/>
    </row>
    <row r="762" spans="1:16" s="1" customFormat="1">
      <c r="A762" s="28"/>
      <c r="B762" s="29" t="s">
        <v>24</v>
      </c>
      <c r="C762" s="24">
        <f t="shared" si="300"/>
        <v>214468.87</v>
      </c>
      <c r="D762" s="30">
        <f>725757.16+47266.74+4783.22</f>
        <v>777807.12</v>
      </c>
      <c r="E762" s="30">
        <v>214468.87</v>
      </c>
      <c r="F762" s="30"/>
      <c r="G762" s="30"/>
      <c r="H762" s="31"/>
      <c r="I762" s="31"/>
      <c r="J762" s="31"/>
      <c r="K762" s="31"/>
      <c r="L762" s="24">
        <f t="shared" si="301"/>
        <v>0</v>
      </c>
      <c r="M762" s="30">
        <f>725757.16+47266.74+4783.22</f>
        <v>777807.12</v>
      </c>
      <c r="N762" s="30"/>
      <c r="O762" s="30"/>
      <c r="P762" s="30"/>
    </row>
    <row r="763" spans="1:16" s="1" customFormat="1">
      <c r="A763" s="28"/>
      <c r="B763" s="34" t="s">
        <v>25</v>
      </c>
      <c r="C763" s="24">
        <f t="shared" si="300"/>
        <v>0</v>
      </c>
      <c r="D763" s="30"/>
      <c r="E763" s="30"/>
      <c r="F763" s="30"/>
      <c r="G763" s="30"/>
      <c r="H763" s="31"/>
      <c r="I763" s="31"/>
      <c r="J763" s="31"/>
      <c r="K763" s="31"/>
      <c r="L763" s="24">
        <f t="shared" si="301"/>
        <v>0</v>
      </c>
      <c r="M763" s="30"/>
      <c r="N763" s="30"/>
      <c r="O763" s="30"/>
      <c r="P763" s="30"/>
    </row>
    <row r="764" spans="1:16" s="1" customFormat="1">
      <c r="A764" s="28"/>
      <c r="B764" s="32" t="s">
        <v>26</v>
      </c>
      <c r="C764" s="24">
        <f t="shared" si="300"/>
        <v>0</v>
      </c>
      <c r="D764" s="30"/>
      <c r="E764" s="30"/>
      <c r="F764" s="30"/>
      <c r="G764" s="30"/>
      <c r="H764" s="31"/>
      <c r="I764" s="31"/>
      <c r="J764" s="31"/>
      <c r="K764" s="31"/>
      <c r="L764" s="24">
        <f t="shared" si="301"/>
        <v>0</v>
      </c>
      <c r="M764" s="30"/>
      <c r="N764" s="30"/>
      <c r="O764" s="30"/>
      <c r="P764" s="30"/>
    </row>
    <row r="765" spans="1:16" s="1" customFormat="1" ht="30">
      <c r="A765" s="28"/>
      <c r="B765" s="35" t="s">
        <v>27</v>
      </c>
      <c r="C765" s="36">
        <f t="shared" ref="C765:G765" si="302">SUM(C766:C769)</f>
        <v>0</v>
      </c>
      <c r="D765" s="36">
        <f t="shared" si="302"/>
        <v>0</v>
      </c>
      <c r="E765" s="36">
        <f t="shared" si="302"/>
        <v>0</v>
      </c>
      <c r="F765" s="36">
        <f t="shared" si="302"/>
        <v>0</v>
      </c>
      <c r="G765" s="36">
        <f t="shared" si="302"/>
        <v>0</v>
      </c>
      <c r="H765" s="31"/>
      <c r="I765" s="31"/>
      <c r="J765" s="31"/>
      <c r="K765" s="31"/>
      <c r="L765" s="36">
        <f t="shared" ref="L765:P765" si="303">SUM(L766:L769)</f>
        <v>0</v>
      </c>
      <c r="M765" s="36">
        <f t="shared" si="303"/>
        <v>0</v>
      </c>
      <c r="N765" s="36">
        <f t="shared" si="303"/>
        <v>0</v>
      </c>
      <c r="O765" s="36">
        <f t="shared" si="303"/>
        <v>0</v>
      </c>
      <c r="P765" s="36">
        <f t="shared" si="303"/>
        <v>0</v>
      </c>
    </row>
    <row r="766" spans="1:16" s="1" customFormat="1">
      <c r="A766" s="28"/>
      <c r="B766" s="38" t="s">
        <v>28</v>
      </c>
      <c r="C766" s="24">
        <f t="shared" ref="C766:C776" si="304">E766+F766+G766</f>
        <v>0</v>
      </c>
      <c r="D766" s="30"/>
      <c r="E766" s="30"/>
      <c r="F766" s="30"/>
      <c r="G766" s="30"/>
      <c r="H766" s="31"/>
      <c r="I766" s="31"/>
      <c r="J766" s="31"/>
      <c r="K766" s="31"/>
      <c r="L766" s="24">
        <f t="shared" ref="L766:L776" si="305">N766+O766+P766</f>
        <v>0</v>
      </c>
      <c r="M766" s="30"/>
      <c r="N766" s="30"/>
      <c r="O766" s="30"/>
      <c r="P766" s="30"/>
    </row>
    <row r="767" spans="1:16" s="1" customFormat="1">
      <c r="A767" s="28"/>
      <c r="B767" s="38" t="s">
        <v>29</v>
      </c>
      <c r="C767" s="24">
        <f t="shared" si="304"/>
        <v>0</v>
      </c>
      <c r="D767" s="30"/>
      <c r="E767" s="30"/>
      <c r="F767" s="30"/>
      <c r="G767" s="30"/>
      <c r="H767" s="31"/>
      <c r="I767" s="31"/>
      <c r="J767" s="31"/>
      <c r="K767" s="31"/>
      <c r="L767" s="24">
        <f t="shared" si="305"/>
        <v>0</v>
      </c>
      <c r="M767" s="30"/>
      <c r="N767" s="30"/>
      <c r="O767" s="30"/>
      <c r="P767" s="30"/>
    </row>
    <row r="768" spans="1:16" s="1" customFormat="1">
      <c r="A768" s="28"/>
      <c r="B768" s="38" t="s">
        <v>30</v>
      </c>
      <c r="C768" s="24">
        <f t="shared" si="304"/>
        <v>0</v>
      </c>
      <c r="D768" s="30"/>
      <c r="E768" s="30"/>
      <c r="F768" s="30"/>
      <c r="G768" s="30"/>
      <c r="H768" s="31"/>
      <c r="I768" s="31"/>
      <c r="J768" s="31"/>
      <c r="K768" s="31"/>
      <c r="L768" s="24">
        <f t="shared" si="305"/>
        <v>0</v>
      </c>
      <c r="M768" s="30"/>
      <c r="N768" s="30"/>
      <c r="O768" s="30"/>
      <c r="P768" s="30"/>
    </row>
    <row r="769" spans="1:16" s="1" customFormat="1">
      <c r="A769" s="28"/>
      <c r="B769" s="38" t="s">
        <v>31</v>
      </c>
      <c r="C769" s="24">
        <f t="shared" si="304"/>
        <v>0</v>
      </c>
      <c r="D769" s="30"/>
      <c r="E769" s="30"/>
      <c r="F769" s="30"/>
      <c r="G769" s="30"/>
      <c r="H769" s="31"/>
      <c r="I769" s="31"/>
      <c r="J769" s="31"/>
      <c r="K769" s="31"/>
      <c r="L769" s="24">
        <f t="shared" si="305"/>
        <v>0</v>
      </c>
      <c r="M769" s="30"/>
      <c r="N769" s="30"/>
      <c r="O769" s="30"/>
      <c r="P769" s="30"/>
    </row>
    <row r="770" spans="1:16" s="1" customFormat="1" ht="30">
      <c r="A770" s="28"/>
      <c r="B770" s="39" t="s">
        <v>32</v>
      </c>
      <c r="C770" s="24">
        <f t="shared" si="304"/>
        <v>0</v>
      </c>
      <c r="D770" s="30"/>
      <c r="E770" s="30"/>
      <c r="F770" s="30"/>
      <c r="G770" s="30"/>
      <c r="H770" s="31"/>
      <c r="I770" s="31"/>
      <c r="J770" s="31"/>
      <c r="K770" s="31"/>
      <c r="L770" s="24">
        <f t="shared" si="305"/>
        <v>0</v>
      </c>
      <c r="M770" s="30"/>
      <c r="N770" s="30"/>
      <c r="O770" s="30"/>
      <c r="P770" s="30"/>
    </row>
    <row r="771" spans="1:16" s="1" customFormat="1" ht="30">
      <c r="A771" s="28"/>
      <c r="B771" s="39" t="s">
        <v>33</v>
      </c>
      <c r="C771" s="24">
        <f t="shared" si="304"/>
        <v>0</v>
      </c>
      <c r="D771" s="30"/>
      <c r="E771" s="30"/>
      <c r="F771" s="30"/>
      <c r="G771" s="30"/>
      <c r="H771" s="31"/>
      <c r="I771" s="31"/>
      <c r="J771" s="31"/>
      <c r="K771" s="31"/>
      <c r="L771" s="24">
        <f t="shared" si="305"/>
        <v>0</v>
      </c>
      <c r="M771" s="30"/>
      <c r="N771" s="30"/>
      <c r="O771" s="30"/>
      <c r="P771" s="30"/>
    </row>
    <row r="772" spans="1:16" s="1" customFormat="1" ht="30">
      <c r="A772" s="28"/>
      <c r="B772" s="40" t="s">
        <v>34</v>
      </c>
      <c r="C772" s="24">
        <f t="shared" si="304"/>
        <v>0</v>
      </c>
      <c r="D772" s="30"/>
      <c r="E772" s="30"/>
      <c r="F772" s="30"/>
      <c r="G772" s="30"/>
      <c r="H772" s="31"/>
      <c r="I772" s="31"/>
      <c r="J772" s="31"/>
      <c r="K772" s="31"/>
      <c r="L772" s="24">
        <f t="shared" si="305"/>
        <v>0</v>
      </c>
      <c r="M772" s="30"/>
      <c r="N772" s="30"/>
      <c r="O772" s="30"/>
      <c r="P772" s="30"/>
    </row>
    <row r="773" spans="1:16" s="1" customFormat="1">
      <c r="A773" s="28"/>
      <c r="B773" s="40" t="s">
        <v>35</v>
      </c>
      <c r="C773" s="24">
        <f t="shared" si="304"/>
        <v>0</v>
      </c>
      <c r="D773" s="30">
        <v>193430.73</v>
      </c>
      <c r="E773" s="30"/>
      <c r="F773" s="30"/>
      <c r="G773" s="30"/>
      <c r="H773" s="31"/>
      <c r="I773" s="31"/>
      <c r="J773" s="31"/>
      <c r="K773" s="31"/>
      <c r="L773" s="24">
        <f t="shared" si="305"/>
        <v>0</v>
      </c>
      <c r="M773" s="30">
        <v>193430.73</v>
      </c>
      <c r="N773" s="30"/>
      <c r="O773" s="30"/>
      <c r="P773" s="30"/>
    </row>
    <row r="774" spans="1:16" s="1" customFormat="1" ht="30">
      <c r="A774" s="28"/>
      <c r="B774" s="41" t="s">
        <v>36</v>
      </c>
      <c r="C774" s="24">
        <f t="shared" si="304"/>
        <v>0</v>
      </c>
      <c r="D774" s="30"/>
      <c r="E774" s="30"/>
      <c r="F774" s="30"/>
      <c r="G774" s="30"/>
      <c r="H774" s="31"/>
      <c r="I774" s="31"/>
      <c r="J774" s="31"/>
      <c r="K774" s="31"/>
      <c r="L774" s="24">
        <f t="shared" si="305"/>
        <v>0</v>
      </c>
      <c r="M774" s="30"/>
      <c r="N774" s="30"/>
      <c r="O774" s="30"/>
      <c r="P774" s="30"/>
    </row>
    <row r="775" spans="1:16" s="1" customFormat="1">
      <c r="A775" s="28"/>
      <c r="B775" s="42" t="s">
        <v>37</v>
      </c>
      <c r="C775" s="24">
        <f t="shared" si="304"/>
        <v>0</v>
      </c>
      <c r="D775" s="30"/>
      <c r="E775" s="30"/>
      <c r="F775" s="30"/>
      <c r="G775" s="30"/>
      <c r="H775" s="31"/>
      <c r="I775" s="31"/>
      <c r="J775" s="31"/>
      <c r="K775" s="31"/>
      <c r="L775" s="24">
        <f t="shared" si="305"/>
        <v>0</v>
      </c>
      <c r="M775" s="30"/>
      <c r="N775" s="30"/>
      <c r="O775" s="30"/>
      <c r="P775" s="30"/>
    </row>
    <row r="776" spans="1:16" s="1" customFormat="1" ht="30">
      <c r="A776" s="28"/>
      <c r="B776" s="42" t="s">
        <v>38</v>
      </c>
      <c r="C776" s="24">
        <f t="shared" si="304"/>
        <v>0</v>
      </c>
      <c r="D776" s="30">
        <f>99914+77940+243499.1</f>
        <v>421353.1</v>
      </c>
      <c r="E776" s="30"/>
      <c r="F776" s="30"/>
      <c r="G776" s="30"/>
      <c r="H776" s="31"/>
      <c r="I776" s="31"/>
      <c r="J776" s="31"/>
      <c r="K776" s="31"/>
      <c r="L776" s="24">
        <f t="shared" si="305"/>
        <v>0</v>
      </c>
      <c r="M776" s="30">
        <f>99914+77940+243499.1</f>
        <v>421353.1</v>
      </c>
      <c r="N776" s="30"/>
      <c r="O776" s="30"/>
      <c r="P776" s="30"/>
    </row>
    <row r="777" spans="1:16" s="1" customFormat="1" ht="30">
      <c r="A777" s="28"/>
      <c r="B777" s="43" t="s">
        <v>39</v>
      </c>
      <c r="C777" s="36">
        <f t="shared" ref="C777:G777" si="306">SUM(C778:C784)</f>
        <v>0</v>
      </c>
      <c r="D777" s="36">
        <f t="shared" si="306"/>
        <v>197.1</v>
      </c>
      <c r="E777" s="36">
        <f t="shared" si="306"/>
        <v>0</v>
      </c>
      <c r="F777" s="36">
        <f t="shared" si="306"/>
        <v>0</v>
      </c>
      <c r="G777" s="36">
        <f t="shared" si="306"/>
        <v>0</v>
      </c>
      <c r="H777" s="31"/>
      <c r="I777" s="31"/>
      <c r="J777" s="31"/>
      <c r="K777" s="31"/>
      <c r="L777" s="36">
        <f t="shared" ref="L777:P777" si="307">SUM(L778:L784)</f>
        <v>0</v>
      </c>
      <c r="M777" s="36">
        <f t="shared" si="307"/>
        <v>197.1</v>
      </c>
      <c r="N777" s="36">
        <f t="shared" si="307"/>
        <v>0</v>
      </c>
      <c r="O777" s="36">
        <f t="shared" si="307"/>
        <v>0</v>
      </c>
      <c r="P777" s="36">
        <f t="shared" si="307"/>
        <v>0</v>
      </c>
    </row>
    <row r="778" spans="1:16" s="1" customFormat="1" ht="30">
      <c r="A778" s="28" t="s">
        <v>40</v>
      </c>
      <c r="B778" s="39" t="s">
        <v>41</v>
      </c>
      <c r="C778" s="24">
        <f t="shared" ref="C778:C784" si="308">E778+F778+G778</f>
        <v>0</v>
      </c>
      <c r="D778" s="30"/>
      <c r="E778" s="30"/>
      <c r="F778" s="30"/>
      <c r="G778" s="30"/>
      <c r="H778" s="31"/>
      <c r="I778" s="31"/>
      <c r="J778" s="31"/>
      <c r="K778" s="31"/>
      <c r="L778" s="24">
        <f t="shared" ref="L778:L784" si="309">N778+O778+P778</f>
        <v>0</v>
      </c>
      <c r="M778" s="30"/>
      <c r="N778" s="30"/>
      <c r="O778" s="30"/>
      <c r="P778" s="30"/>
    </row>
    <row r="779" spans="1:16" s="1" customFormat="1">
      <c r="A779" s="28"/>
      <c r="B779" s="39" t="s">
        <v>42</v>
      </c>
      <c r="C779" s="24">
        <f t="shared" si="308"/>
        <v>0</v>
      </c>
      <c r="D779" s="30"/>
      <c r="E779" s="30"/>
      <c r="F779" s="30"/>
      <c r="G779" s="30"/>
      <c r="H779" s="31"/>
      <c r="I779" s="31"/>
      <c r="J779" s="31"/>
      <c r="K779" s="31"/>
      <c r="L779" s="24">
        <f t="shared" si="309"/>
        <v>0</v>
      </c>
      <c r="M779" s="30"/>
      <c r="N779" s="30"/>
      <c r="O779" s="30"/>
      <c r="P779" s="30"/>
    </row>
    <row r="780" spans="1:16" s="1" customFormat="1">
      <c r="A780" s="28"/>
      <c r="B780" s="39" t="s">
        <v>43</v>
      </c>
      <c r="C780" s="24">
        <f t="shared" si="308"/>
        <v>0</v>
      </c>
      <c r="D780" s="30"/>
      <c r="E780" s="30"/>
      <c r="F780" s="30"/>
      <c r="G780" s="30"/>
      <c r="H780" s="31"/>
      <c r="I780" s="31"/>
      <c r="J780" s="31"/>
      <c r="K780" s="31"/>
      <c r="L780" s="24">
        <f t="shared" si="309"/>
        <v>0</v>
      </c>
      <c r="M780" s="30"/>
      <c r="N780" s="30"/>
      <c r="O780" s="30"/>
      <c r="P780" s="30"/>
    </row>
    <row r="781" spans="1:16" s="1" customFormat="1">
      <c r="A781" s="28"/>
      <c r="B781" s="39" t="s">
        <v>44</v>
      </c>
      <c r="C781" s="24">
        <f t="shared" si="308"/>
        <v>0</v>
      </c>
      <c r="D781" s="30"/>
      <c r="E781" s="30"/>
      <c r="F781" s="30"/>
      <c r="G781" s="30"/>
      <c r="H781" s="31"/>
      <c r="I781" s="31"/>
      <c r="J781" s="31"/>
      <c r="K781" s="31"/>
      <c r="L781" s="24">
        <f t="shared" si="309"/>
        <v>0</v>
      </c>
      <c r="M781" s="30"/>
      <c r="N781" s="30"/>
      <c r="O781" s="30"/>
      <c r="P781" s="30"/>
    </row>
    <row r="782" spans="1:16" s="1" customFormat="1">
      <c r="A782" s="28"/>
      <c r="B782" s="39" t="s">
        <v>45</v>
      </c>
      <c r="C782" s="24">
        <f t="shared" si="308"/>
        <v>0</v>
      </c>
      <c r="D782" s="30"/>
      <c r="E782" s="30"/>
      <c r="F782" s="30"/>
      <c r="G782" s="30"/>
      <c r="H782" s="31"/>
      <c r="I782" s="31"/>
      <c r="J782" s="31"/>
      <c r="K782" s="31"/>
      <c r="L782" s="24">
        <f t="shared" si="309"/>
        <v>0</v>
      </c>
      <c r="M782" s="30"/>
      <c r="N782" s="30"/>
      <c r="O782" s="30"/>
      <c r="P782" s="30"/>
    </row>
    <row r="783" spans="1:16" s="1" customFormat="1" ht="30">
      <c r="A783" s="28"/>
      <c r="B783" s="39" t="s">
        <v>46</v>
      </c>
      <c r="C783" s="24">
        <f t="shared" si="308"/>
        <v>0</v>
      </c>
      <c r="D783" s="30"/>
      <c r="E783" s="30"/>
      <c r="F783" s="30"/>
      <c r="G783" s="30"/>
      <c r="H783" s="31"/>
      <c r="I783" s="31"/>
      <c r="J783" s="31"/>
      <c r="K783" s="31"/>
      <c r="L783" s="24">
        <f t="shared" si="309"/>
        <v>0</v>
      </c>
      <c r="M783" s="30"/>
      <c r="N783" s="30"/>
      <c r="O783" s="30"/>
      <c r="P783" s="30"/>
    </row>
    <row r="784" spans="1:16" s="1" customFormat="1">
      <c r="A784" s="28"/>
      <c r="B784" s="39" t="s">
        <v>47</v>
      </c>
      <c r="C784" s="24">
        <f t="shared" si="308"/>
        <v>0</v>
      </c>
      <c r="D784" s="30">
        <v>197.1</v>
      </c>
      <c r="E784" s="30"/>
      <c r="F784" s="30"/>
      <c r="G784" s="30"/>
      <c r="H784" s="31"/>
      <c r="I784" s="31"/>
      <c r="J784" s="31"/>
      <c r="K784" s="31"/>
      <c r="L784" s="24">
        <f t="shared" si="309"/>
        <v>0</v>
      </c>
      <c r="M784" s="30">
        <v>197.1</v>
      </c>
      <c r="N784" s="30"/>
      <c r="O784" s="30"/>
      <c r="P784" s="30"/>
    </row>
    <row r="785" spans="1:16" s="1" customFormat="1" ht="36.75" customHeight="1">
      <c r="A785" s="211" t="s">
        <v>3</v>
      </c>
      <c r="B785" s="213" t="s">
        <v>4</v>
      </c>
      <c r="C785" s="213" t="s">
        <v>5</v>
      </c>
      <c r="D785" s="10" t="s">
        <v>6</v>
      </c>
      <c r="E785" s="215" t="s">
        <v>7</v>
      </c>
      <c r="F785" s="216"/>
      <c r="G785" s="217"/>
      <c r="H785" s="218" t="s">
        <v>8</v>
      </c>
      <c r="I785" s="218"/>
      <c r="J785" s="218"/>
      <c r="K785" s="11"/>
      <c r="L785" s="219" t="s">
        <v>9</v>
      </c>
      <c r="M785" s="12" t="s">
        <v>6</v>
      </c>
      <c r="N785" s="208" t="s">
        <v>10</v>
      </c>
      <c r="O785" s="209"/>
      <c r="P785" s="210"/>
    </row>
    <row r="786" spans="1:16" s="1" customFormat="1" ht="47.25" customHeight="1">
      <c r="A786" s="212"/>
      <c r="B786" s="214"/>
      <c r="C786" s="214"/>
      <c r="D786" s="13" t="s">
        <v>11</v>
      </c>
      <c r="E786" s="13" t="s">
        <v>12</v>
      </c>
      <c r="F786" s="13" t="s">
        <v>13</v>
      </c>
      <c r="G786" s="13" t="s">
        <v>14</v>
      </c>
      <c r="H786" s="14" t="s">
        <v>15</v>
      </c>
      <c r="I786" s="14" t="s">
        <v>16</v>
      </c>
      <c r="J786" s="14" t="s">
        <v>17</v>
      </c>
      <c r="K786" s="14" t="s">
        <v>18</v>
      </c>
      <c r="L786" s="220"/>
      <c r="M786" s="15" t="s">
        <v>11</v>
      </c>
      <c r="N786" s="15" t="s">
        <v>12</v>
      </c>
      <c r="O786" s="15" t="s">
        <v>13</v>
      </c>
      <c r="P786" s="15" t="s">
        <v>14</v>
      </c>
    </row>
    <row r="787" spans="1:16" s="1" customFormat="1">
      <c r="A787" s="80">
        <v>5</v>
      </c>
      <c r="B787" s="17" t="s">
        <v>73</v>
      </c>
      <c r="C787" s="81">
        <f t="shared" ref="C787:G787" si="310">C788+C789+C790+C791+C792+C793+C794+C795+C800+C801+C802+C803+C804+C805+C806+C807</f>
        <v>1834046.48</v>
      </c>
      <c r="D787" s="81">
        <f t="shared" si="310"/>
        <v>857019.45</v>
      </c>
      <c r="E787" s="81">
        <f t="shared" si="310"/>
        <v>870901</v>
      </c>
      <c r="F787" s="81">
        <f t="shared" si="310"/>
        <v>0</v>
      </c>
      <c r="G787" s="81">
        <f t="shared" si="310"/>
        <v>963145.48</v>
      </c>
      <c r="H787" s="82"/>
      <c r="I787" s="83"/>
      <c r="J787" s="83"/>
      <c r="K787" s="84"/>
      <c r="L787" s="81">
        <f t="shared" ref="L787:P787" si="311">L788+L789+L790+L791+L792+L793+L794+L795+L800+L801+L802+L803+L804+L805+L806+L807</f>
        <v>0</v>
      </c>
      <c r="M787" s="81">
        <f t="shared" si="311"/>
        <v>857019.45</v>
      </c>
      <c r="N787" s="81">
        <f t="shared" si="311"/>
        <v>0</v>
      </c>
      <c r="O787" s="81">
        <f t="shared" si="311"/>
        <v>0</v>
      </c>
      <c r="P787" s="81">
        <f t="shared" si="311"/>
        <v>0</v>
      </c>
    </row>
    <row r="788" spans="1:16" s="5" customFormat="1">
      <c r="A788" s="22"/>
      <c r="B788" s="23" t="s">
        <v>20</v>
      </c>
      <c r="C788" s="24">
        <f t="shared" ref="C788:C794" si="312">E788+F788+G788</f>
        <v>343747.88</v>
      </c>
      <c r="D788" s="25"/>
      <c r="E788" s="25"/>
      <c r="F788" s="25"/>
      <c r="G788" s="25">
        <v>343747.88</v>
      </c>
      <c r="H788" s="26"/>
      <c r="I788" s="24"/>
      <c r="J788" s="24"/>
      <c r="K788" s="27"/>
      <c r="L788" s="24">
        <f t="shared" ref="L788:L794" si="313">N788+O788+P788</f>
        <v>0</v>
      </c>
      <c r="M788" s="25"/>
      <c r="N788" s="25"/>
      <c r="O788" s="25"/>
      <c r="P788" s="25"/>
    </row>
    <row r="789" spans="1:16" s="1" customFormat="1">
      <c r="A789" s="28"/>
      <c r="B789" s="29" t="s">
        <v>21</v>
      </c>
      <c r="C789" s="24">
        <f t="shared" si="312"/>
        <v>0</v>
      </c>
      <c r="D789" s="85">
        <v>8.5</v>
      </c>
      <c r="E789" s="30"/>
      <c r="F789" s="30"/>
      <c r="G789" s="30"/>
      <c r="H789" s="31"/>
      <c r="I789" s="31"/>
      <c r="J789" s="31"/>
      <c r="K789" s="31"/>
      <c r="L789" s="24">
        <f t="shared" si="313"/>
        <v>0</v>
      </c>
      <c r="M789" s="85">
        <v>8.5</v>
      </c>
      <c r="N789" s="30"/>
      <c r="O789" s="30"/>
      <c r="P789" s="30"/>
    </row>
    <row r="790" spans="1:16" s="1" customFormat="1">
      <c r="A790" s="28"/>
      <c r="B790" s="32" t="s">
        <v>22</v>
      </c>
      <c r="C790" s="24">
        <f t="shared" si="312"/>
        <v>0</v>
      </c>
      <c r="D790" s="30"/>
      <c r="E790" s="30"/>
      <c r="F790" s="30"/>
      <c r="G790" s="30"/>
      <c r="H790" s="31"/>
      <c r="I790" s="31"/>
      <c r="J790" s="31"/>
      <c r="K790" s="31"/>
      <c r="L790" s="24">
        <f t="shared" si="313"/>
        <v>0</v>
      </c>
      <c r="M790" s="30"/>
      <c r="N790" s="30"/>
      <c r="O790" s="30"/>
      <c r="P790" s="30"/>
    </row>
    <row r="791" spans="1:16" s="1" customFormat="1">
      <c r="A791" s="28"/>
      <c r="B791" s="32" t="s">
        <v>23</v>
      </c>
      <c r="C791" s="24">
        <f t="shared" si="312"/>
        <v>0</v>
      </c>
      <c r="D791" s="30"/>
      <c r="E791" s="30"/>
      <c r="F791" s="30"/>
      <c r="G791" s="30"/>
      <c r="H791" s="31"/>
      <c r="I791" s="31"/>
      <c r="J791" s="31"/>
      <c r="K791" s="31"/>
      <c r="L791" s="24">
        <f t="shared" si="313"/>
        <v>0</v>
      </c>
      <c r="M791" s="30"/>
      <c r="N791" s="30"/>
      <c r="O791" s="30"/>
      <c r="P791" s="30"/>
    </row>
    <row r="792" spans="1:16" s="1" customFormat="1">
      <c r="A792" s="28"/>
      <c r="B792" s="29" t="s">
        <v>24</v>
      </c>
      <c r="C792" s="24">
        <f t="shared" si="312"/>
        <v>0</v>
      </c>
      <c r="D792" s="85">
        <f>448678.5</f>
        <v>448678.5</v>
      </c>
      <c r="E792" s="30"/>
      <c r="F792" s="30"/>
      <c r="G792" s="30"/>
      <c r="H792" s="31"/>
      <c r="I792" s="31"/>
      <c r="J792" s="31"/>
      <c r="K792" s="31"/>
      <c r="L792" s="24">
        <f t="shared" si="313"/>
        <v>0</v>
      </c>
      <c r="M792" s="85">
        <f>448678.5</f>
        <v>448678.5</v>
      </c>
      <c r="N792" s="30"/>
      <c r="O792" s="30"/>
      <c r="P792" s="30"/>
    </row>
    <row r="793" spans="1:16" s="1" customFormat="1">
      <c r="A793" s="28"/>
      <c r="B793" s="34" t="s">
        <v>25</v>
      </c>
      <c r="C793" s="24">
        <f t="shared" si="312"/>
        <v>0</v>
      </c>
      <c r="D793" s="85">
        <v>13588.45</v>
      </c>
      <c r="E793" s="30"/>
      <c r="F793" s="30"/>
      <c r="G793" s="30"/>
      <c r="H793" s="31"/>
      <c r="I793" s="31"/>
      <c r="J793" s="31"/>
      <c r="K793" s="31"/>
      <c r="L793" s="24">
        <f t="shared" si="313"/>
        <v>0</v>
      </c>
      <c r="M793" s="85">
        <v>13588.45</v>
      </c>
      <c r="N793" s="30"/>
      <c r="O793" s="30"/>
      <c r="P793" s="30"/>
    </row>
    <row r="794" spans="1:16" s="1" customFormat="1">
      <c r="A794" s="28"/>
      <c r="B794" s="32" t="s">
        <v>26</v>
      </c>
      <c r="C794" s="24">
        <f t="shared" si="312"/>
        <v>0</v>
      </c>
      <c r="D794" s="30"/>
      <c r="E794" s="30"/>
      <c r="F794" s="30"/>
      <c r="G794" s="30"/>
      <c r="H794" s="31"/>
      <c r="I794" s="31"/>
      <c r="J794" s="31"/>
      <c r="K794" s="31"/>
      <c r="L794" s="24">
        <f t="shared" si="313"/>
        <v>0</v>
      </c>
      <c r="M794" s="30"/>
      <c r="N794" s="30"/>
      <c r="O794" s="30"/>
      <c r="P794" s="30"/>
    </row>
    <row r="795" spans="1:16" s="1" customFormat="1" ht="30">
      <c r="A795" s="28"/>
      <c r="B795" s="35" t="s">
        <v>27</v>
      </c>
      <c r="C795" s="36">
        <f t="shared" ref="C795:G795" si="314">SUM(C796:C799)</f>
        <v>850041.73</v>
      </c>
      <c r="D795" s="36">
        <f t="shared" si="314"/>
        <v>0</v>
      </c>
      <c r="E795" s="86">
        <f t="shared" si="314"/>
        <v>850041.73</v>
      </c>
      <c r="F795" s="36">
        <f t="shared" si="314"/>
        <v>0</v>
      </c>
      <c r="G795" s="36">
        <f t="shared" si="314"/>
        <v>0</v>
      </c>
      <c r="H795" s="31"/>
      <c r="I795" s="31"/>
      <c r="J795" s="31"/>
      <c r="K795" s="31"/>
      <c r="L795" s="36">
        <f t="shared" ref="L795:P795" si="315">SUM(L796:L799)</f>
        <v>0</v>
      </c>
      <c r="M795" s="36">
        <f t="shared" si="315"/>
        <v>0</v>
      </c>
      <c r="N795" s="86">
        <f t="shared" si="315"/>
        <v>0</v>
      </c>
      <c r="O795" s="36">
        <f t="shared" si="315"/>
        <v>0</v>
      </c>
      <c r="P795" s="36">
        <f t="shared" si="315"/>
        <v>0</v>
      </c>
    </row>
    <row r="796" spans="1:16" s="1" customFormat="1">
      <c r="A796" s="28"/>
      <c r="B796" s="38" t="s">
        <v>28</v>
      </c>
      <c r="C796" s="24">
        <f t="shared" ref="C796:C806" si="316">E796+F796+G796</f>
        <v>600665.78</v>
      </c>
      <c r="D796" s="30"/>
      <c r="E796" s="30">
        <v>600665.78</v>
      </c>
      <c r="F796" s="30"/>
      <c r="G796" s="30"/>
      <c r="H796" s="31"/>
      <c r="I796" s="31"/>
      <c r="J796" s="31"/>
      <c r="K796" s="31"/>
      <c r="L796" s="24">
        <f t="shared" ref="L796:L806" si="317">N796+O796+P796</f>
        <v>0</v>
      </c>
      <c r="M796" s="30"/>
      <c r="N796" s="30"/>
      <c r="O796" s="30"/>
      <c r="P796" s="30"/>
    </row>
    <row r="797" spans="1:16" s="1" customFormat="1">
      <c r="A797" s="28"/>
      <c r="B797" s="38" t="s">
        <v>29</v>
      </c>
      <c r="C797" s="24">
        <f t="shared" si="316"/>
        <v>108935.86</v>
      </c>
      <c r="D797" s="30"/>
      <c r="E797" s="30">
        <v>108935.86</v>
      </c>
      <c r="F797" s="30"/>
      <c r="G797" s="30"/>
      <c r="H797" s="31"/>
      <c r="I797" s="31"/>
      <c r="J797" s="31"/>
      <c r="K797" s="31"/>
      <c r="L797" s="24">
        <f t="shared" si="317"/>
        <v>0</v>
      </c>
      <c r="M797" s="30"/>
      <c r="N797" s="30"/>
      <c r="O797" s="30"/>
      <c r="P797" s="30"/>
    </row>
    <row r="798" spans="1:16" s="1" customFormat="1">
      <c r="A798" s="28"/>
      <c r="B798" s="38" t="s">
        <v>30</v>
      </c>
      <c r="C798" s="24">
        <f t="shared" si="316"/>
        <v>25576.99</v>
      </c>
      <c r="D798" s="30"/>
      <c r="E798" s="30">
        <f>4104.63+21472.36</f>
        <v>25576.99</v>
      </c>
      <c r="F798" s="30"/>
      <c r="G798" s="30"/>
      <c r="H798" s="31"/>
      <c r="I798" s="31"/>
      <c r="J798" s="31"/>
      <c r="K798" s="31"/>
      <c r="L798" s="24">
        <f t="shared" si="317"/>
        <v>0</v>
      </c>
      <c r="M798" s="30"/>
      <c r="N798" s="30"/>
      <c r="O798" s="30"/>
      <c r="P798" s="30"/>
    </row>
    <row r="799" spans="1:16" s="1" customFormat="1">
      <c r="A799" s="28"/>
      <c r="B799" s="38" t="s">
        <v>31</v>
      </c>
      <c r="C799" s="24">
        <f t="shared" si="316"/>
        <v>114863.1</v>
      </c>
      <c r="D799" s="30"/>
      <c r="E799" s="30">
        <v>114863.1</v>
      </c>
      <c r="F799" s="30"/>
      <c r="G799" s="30"/>
      <c r="H799" s="31"/>
      <c r="I799" s="31"/>
      <c r="J799" s="31"/>
      <c r="K799" s="31"/>
      <c r="L799" s="24">
        <f t="shared" si="317"/>
        <v>0</v>
      </c>
      <c r="M799" s="30"/>
      <c r="N799" s="30"/>
      <c r="O799" s="30"/>
      <c r="P799" s="30"/>
    </row>
    <row r="800" spans="1:16" s="1" customFormat="1" ht="30">
      <c r="A800" s="28"/>
      <c r="B800" s="39" t="s">
        <v>32</v>
      </c>
      <c r="C800" s="24">
        <f t="shared" si="316"/>
        <v>0</v>
      </c>
      <c r="D800" s="30"/>
      <c r="E800" s="30"/>
      <c r="F800" s="30"/>
      <c r="G800" s="30"/>
      <c r="H800" s="31"/>
      <c r="I800" s="31"/>
      <c r="J800" s="31"/>
      <c r="K800" s="31"/>
      <c r="L800" s="24">
        <f t="shared" si="317"/>
        <v>0</v>
      </c>
      <c r="M800" s="30"/>
      <c r="N800" s="30"/>
      <c r="O800" s="30"/>
      <c r="P800" s="30"/>
    </row>
    <row r="801" spans="1:16" s="1" customFormat="1" ht="30">
      <c r="A801" s="28"/>
      <c r="B801" s="39" t="s">
        <v>33</v>
      </c>
      <c r="C801" s="24">
        <f t="shared" si="316"/>
        <v>20859.27</v>
      </c>
      <c r="D801" s="30"/>
      <c r="E801" s="87">
        <f>19844.7+1014.57</f>
        <v>20859.27</v>
      </c>
      <c r="F801" s="30"/>
      <c r="G801" s="30"/>
      <c r="H801" s="31"/>
      <c r="I801" s="31"/>
      <c r="J801" s="31"/>
      <c r="K801" s="31"/>
      <c r="L801" s="24">
        <f t="shared" si="317"/>
        <v>0</v>
      </c>
      <c r="M801" s="30"/>
      <c r="N801" s="87"/>
      <c r="O801" s="30"/>
      <c r="P801" s="30"/>
    </row>
    <row r="802" spans="1:16" s="1" customFormat="1" ht="30">
      <c r="A802" s="28"/>
      <c r="B802" s="40" t="s">
        <v>34</v>
      </c>
      <c r="C802" s="24">
        <f t="shared" si="316"/>
        <v>0</v>
      </c>
      <c r="D802" s="30"/>
      <c r="E802" s="30"/>
      <c r="F802" s="30"/>
      <c r="G802" s="30"/>
      <c r="H802" s="31"/>
      <c r="I802" s="31"/>
      <c r="J802" s="31"/>
      <c r="K802" s="31"/>
      <c r="L802" s="24">
        <f t="shared" si="317"/>
        <v>0</v>
      </c>
      <c r="M802" s="30"/>
      <c r="N802" s="30"/>
      <c r="O802" s="30"/>
      <c r="P802" s="30"/>
    </row>
    <row r="803" spans="1:16" s="1" customFormat="1">
      <c r="A803" s="28"/>
      <c r="B803" s="40" t="s">
        <v>35</v>
      </c>
      <c r="C803" s="24">
        <f t="shared" si="316"/>
        <v>619397.6</v>
      </c>
      <c r="D803" s="85">
        <v>20700</v>
      </c>
      <c r="E803" s="30"/>
      <c r="F803" s="30"/>
      <c r="G803" s="30">
        <v>619397.6</v>
      </c>
      <c r="H803" s="31"/>
      <c r="I803" s="31"/>
      <c r="J803" s="31"/>
      <c r="K803" s="31"/>
      <c r="L803" s="24">
        <f t="shared" si="317"/>
        <v>0</v>
      </c>
      <c r="M803" s="85">
        <v>20700</v>
      </c>
      <c r="N803" s="30"/>
      <c r="O803" s="30"/>
      <c r="P803" s="30"/>
    </row>
    <row r="804" spans="1:16" s="1" customFormat="1" ht="30">
      <c r="A804" s="28"/>
      <c r="B804" s="41" t="s">
        <v>36</v>
      </c>
      <c r="C804" s="24">
        <f t="shared" si="316"/>
        <v>0</v>
      </c>
      <c r="D804" s="30"/>
      <c r="E804" s="30"/>
      <c r="F804" s="30"/>
      <c r="G804" s="87"/>
      <c r="H804" s="31"/>
      <c r="I804" s="31"/>
      <c r="J804" s="31"/>
      <c r="K804" s="31"/>
      <c r="L804" s="24">
        <f t="shared" si="317"/>
        <v>0</v>
      </c>
      <c r="M804" s="30"/>
      <c r="N804" s="30"/>
      <c r="O804" s="30"/>
      <c r="P804" s="87"/>
    </row>
    <row r="805" spans="1:16" s="1" customFormat="1">
      <c r="A805" s="28"/>
      <c r="B805" s="42" t="s">
        <v>37</v>
      </c>
      <c r="C805" s="24">
        <f t="shared" si="316"/>
        <v>0</v>
      </c>
      <c r="D805" s="85">
        <v>7844</v>
      </c>
      <c r="E805" s="30"/>
      <c r="F805" s="30"/>
      <c r="G805" s="30"/>
      <c r="H805" s="31"/>
      <c r="I805" s="31"/>
      <c r="J805" s="31"/>
      <c r="K805" s="31"/>
      <c r="L805" s="24">
        <f t="shared" si="317"/>
        <v>0</v>
      </c>
      <c r="M805" s="85">
        <v>7844</v>
      </c>
      <c r="N805" s="30"/>
      <c r="O805" s="30"/>
      <c r="P805" s="30"/>
    </row>
    <row r="806" spans="1:16" s="1" customFormat="1" ht="30">
      <c r="A806" s="28"/>
      <c r="B806" s="42" t="s">
        <v>38</v>
      </c>
      <c r="C806" s="24">
        <f t="shared" si="316"/>
        <v>0</v>
      </c>
      <c r="D806" s="85">
        <v>366200</v>
      </c>
      <c r="E806" s="30"/>
      <c r="F806" s="30"/>
      <c r="G806" s="30"/>
      <c r="H806" s="31"/>
      <c r="I806" s="31"/>
      <c r="J806" s="31"/>
      <c r="K806" s="31"/>
      <c r="L806" s="24">
        <f t="shared" si="317"/>
        <v>0</v>
      </c>
      <c r="M806" s="85">
        <v>366200</v>
      </c>
      <c r="N806" s="30"/>
      <c r="O806" s="30"/>
      <c r="P806" s="30"/>
    </row>
    <row r="807" spans="1:16" s="1" customFormat="1" ht="30">
      <c r="A807" s="28"/>
      <c r="B807" s="43" t="s">
        <v>39</v>
      </c>
      <c r="C807" s="36">
        <f t="shared" ref="C807:G807" si="318">SUM(C808:C814)</f>
        <v>0</v>
      </c>
      <c r="D807" s="36">
        <f t="shared" si="318"/>
        <v>0</v>
      </c>
      <c r="E807" s="36">
        <f t="shared" si="318"/>
        <v>0</v>
      </c>
      <c r="F807" s="36">
        <f t="shared" si="318"/>
        <v>0</v>
      </c>
      <c r="G807" s="36">
        <f t="shared" si="318"/>
        <v>0</v>
      </c>
      <c r="H807" s="31"/>
      <c r="I807" s="31"/>
      <c r="J807" s="31"/>
      <c r="K807" s="31"/>
      <c r="L807" s="36">
        <f t="shared" ref="L807:P807" si="319">SUM(L808:L814)</f>
        <v>0</v>
      </c>
      <c r="M807" s="36">
        <f t="shared" si="319"/>
        <v>0</v>
      </c>
      <c r="N807" s="36">
        <f t="shared" si="319"/>
        <v>0</v>
      </c>
      <c r="O807" s="36">
        <f t="shared" si="319"/>
        <v>0</v>
      </c>
      <c r="P807" s="36">
        <f t="shared" si="319"/>
        <v>0</v>
      </c>
    </row>
    <row r="808" spans="1:16" s="1" customFormat="1" ht="30">
      <c r="A808" s="28" t="s">
        <v>40</v>
      </c>
      <c r="B808" s="39" t="s">
        <v>41</v>
      </c>
      <c r="C808" s="24">
        <f t="shared" ref="C808:C814" si="320">E808+F808+G808</f>
        <v>0</v>
      </c>
      <c r="D808" s="30"/>
      <c r="E808" s="30"/>
      <c r="F808" s="30"/>
      <c r="G808" s="30"/>
      <c r="H808" s="31"/>
      <c r="I808" s="31"/>
      <c r="J808" s="31"/>
      <c r="K808" s="31"/>
      <c r="L808" s="24">
        <f t="shared" ref="L808:L814" si="321">N808+O808+P808</f>
        <v>0</v>
      </c>
      <c r="M808" s="30"/>
      <c r="N808" s="30"/>
      <c r="O808" s="30"/>
      <c r="P808" s="30"/>
    </row>
    <row r="809" spans="1:16" s="1" customFormat="1">
      <c r="A809" s="28"/>
      <c r="B809" s="39" t="s">
        <v>42</v>
      </c>
      <c r="C809" s="24">
        <f t="shared" si="320"/>
        <v>0</v>
      </c>
      <c r="D809" s="30"/>
      <c r="E809" s="30"/>
      <c r="F809" s="30"/>
      <c r="G809" s="30"/>
      <c r="H809" s="31"/>
      <c r="I809" s="31"/>
      <c r="J809" s="31"/>
      <c r="K809" s="31"/>
      <c r="L809" s="24">
        <f t="shared" si="321"/>
        <v>0</v>
      </c>
      <c r="M809" s="30"/>
      <c r="N809" s="30"/>
      <c r="O809" s="30"/>
      <c r="P809" s="30"/>
    </row>
    <row r="810" spans="1:16" s="1" customFormat="1">
      <c r="A810" s="28"/>
      <c r="B810" s="39" t="s">
        <v>43</v>
      </c>
      <c r="C810" s="24">
        <f t="shared" si="320"/>
        <v>0</v>
      </c>
      <c r="D810" s="30"/>
      <c r="E810" s="30"/>
      <c r="F810" s="30"/>
      <c r="G810" s="30"/>
      <c r="H810" s="31"/>
      <c r="I810" s="31"/>
      <c r="J810" s="31"/>
      <c r="K810" s="31"/>
      <c r="L810" s="24">
        <f t="shared" si="321"/>
        <v>0</v>
      </c>
      <c r="M810" s="30"/>
      <c r="N810" s="30"/>
      <c r="O810" s="30"/>
      <c r="P810" s="30"/>
    </row>
    <row r="811" spans="1:16" s="1" customFormat="1">
      <c r="A811" s="28"/>
      <c r="B811" s="39" t="s">
        <v>44</v>
      </c>
      <c r="C811" s="24">
        <f t="shared" si="320"/>
        <v>0</v>
      </c>
      <c r="D811" s="30"/>
      <c r="E811" s="30"/>
      <c r="F811" s="30"/>
      <c r="G811" s="30"/>
      <c r="H811" s="31"/>
      <c r="I811" s="31"/>
      <c r="J811" s="31"/>
      <c r="K811" s="31"/>
      <c r="L811" s="24">
        <f t="shared" si="321"/>
        <v>0</v>
      </c>
      <c r="M811" s="30"/>
      <c r="N811" s="30"/>
      <c r="O811" s="30"/>
      <c r="P811" s="30"/>
    </row>
    <row r="812" spans="1:16" s="1" customFormat="1">
      <c r="A812" s="28"/>
      <c r="B812" s="39" t="s">
        <v>45</v>
      </c>
      <c r="C812" s="24">
        <f t="shared" si="320"/>
        <v>0</v>
      </c>
      <c r="D812" s="30"/>
      <c r="E812" s="30"/>
      <c r="F812" s="30"/>
      <c r="G812" s="30"/>
      <c r="H812" s="31"/>
      <c r="I812" s="31"/>
      <c r="J812" s="31"/>
      <c r="K812" s="31"/>
      <c r="L812" s="24">
        <f t="shared" si="321"/>
        <v>0</v>
      </c>
      <c r="M812" s="30"/>
      <c r="N812" s="30"/>
      <c r="O812" s="30"/>
      <c r="P812" s="30"/>
    </row>
    <row r="813" spans="1:16" s="1" customFormat="1" ht="30">
      <c r="A813" s="28"/>
      <c r="B813" s="39" t="s">
        <v>46</v>
      </c>
      <c r="C813" s="24">
        <f t="shared" si="320"/>
        <v>0</v>
      </c>
      <c r="D813" s="30"/>
      <c r="E813" s="30"/>
      <c r="F813" s="30"/>
      <c r="G813" s="30"/>
      <c r="H813" s="31"/>
      <c r="I813" s="31"/>
      <c r="J813" s="31"/>
      <c r="K813" s="31"/>
      <c r="L813" s="24">
        <f t="shared" si="321"/>
        <v>0</v>
      </c>
      <c r="M813" s="30"/>
      <c r="N813" s="30"/>
      <c r="O813" s="30"/>
      <c r="P813" s="30"/>
    </row>
    <row r="814" spans="1:16" s="1" customFormat="1">
      <c r="A814" s="28"/>
      <c r="B814" s="39" t="s">
        <v>47</v>
      </c>
      <c r="C814" s="24">
        <f t="shared" si="320"/>
        <v>0</v>
      </c>
      <c r="D814" s="30"/>
      <c r="E814" s="30"/>
      <c r="F814" s="30"/>
      <c r="G814" s="30"/>
      <c r="H814" s="31"/>
      <c r="I814" s="31"/>
      <c r="J814" s="31"/>
      <c r="K814" s="31"/>
      <c r="L814" s="24">
        <f t="shared" si="321"/>
        <v>0</v>
      </c>
      <c r="M814" s="30"/>
      <c r="N814" s="30"/>
      <c r="O814" s="30"/>
      <c r="P814" s="30"/>
    </row>
    <row r="815" spans="1:16" s="1" customFormat="1" ht="36.75" customHeight="1">
      <c r="A815" s="211" t="s">
        <v>3</v>
      </c>
      <c r="B815" s="213" t="s">
        <v>4</v>
      </c>
      <c r="C815" s="213" t="s">
        <v>5</v>
      </c>
      <c r="D815" s="10" t="s">
        <v>6</v>
      </c>
      <c r="E815" s="215" t="s">
        <v>7</v>
      </c>
      <c r="F815" s="216"/>
      <c r="G815" s="217"/>
      <c r="H815" s="218" t="s">
        <v>8</v>
      </c>
      <c r="I815" s="218"/>
      <c r="J815" s="218"/>
      <c r="K815" s="11"/>
      <c r="L815" s="219" t="s">
        <v>9</v>
      </c>
      <c r="M815" s="12" t="s">
        <v>6</v>
      </c>
      <c r="N815" s="208" t="s">
        <v>10</v>
      </c>
      <c r="O815" s="209"/>
      <c r="P815" s="210"/>
    </row>
    <row r="816" spans="1:16" s="1" customFormat="1" ht="47.25" customHeight="1">
      <c r="A816" s="212"/>
      <c r="B816" s="214"/>
      <c r="C816" s="214"/>
      <c r="D816" s="13" t="s">
        <v>11</v>
      </c>
      <c r="E816" s="13" t="s">
        <v>12</v>
      </c>
      <c r="F816" s="13" t="s">
        <v>13</v>
      </c>
      <c r="G816" s="13" t="s">
        <v>14</v>
      </c>
      <c r="H816" s="14" t="s">
        <v>15</v>
      </c>
      <c r="I816" s="14" t="s">
        <v>16</v>
      </c>
      <c r="J816" s="14" t="s">
        <v>17</v>
      </c>
      <c r="K816" s="14" t="s">
        <v>18</v>
      </c>
      <c r="L816" s="220"/>
      <c r="M816" s="15" t="s">
        <v>11</v>
      </c>
      <c r="N816" s="15" t="s">
        <v>12</v>
      </c>
      <c r="O816" s="15" t="s">
        <v>13</v>
      </c>
      <c r="P816" s="15" t="s">
        <v>14</v>
      </c>
    </row>
    <row r="817" spans="1:16" s="1" customFormat="1">
      <c r="A817" s="80">
        <v>6</v>
      </c>
      <c r="B817" s="17" t="s">
        <v>74</v>
      </c>
      <c r="C817" s="81">
        <f t="shared" ref="C817:G817" si="322">C818+C819+C820+C821+C822+C823+C824+C825+C830+C831+C832+C833+C834+C835+C836+C837</f>
        <v>169615.42</v>
      </c>
      <c r="D817" s="81">
        <f t="shared" si="322"/>
        <v>3089617.36</v>
      </c>
      <c r="E817" s="81">
        <f t="shared" si="322"/>
        <v>169565.76</v>
      </c>
      <c r="F817" s="81">
        <f t="shared" si="322"/>
        <v>0</v>
      </c>
      <c r="G817" s="81">
        <f t="shared" si="322"/>
        <v>49.66</v>
      </c>
      <c r="H817" s="82"/>
      <c r="I817" s="83"/>
      <c r="J817" s="83"/>
      <c r="K817" s="84"/>
      <c r="L817" s="81">
        <f t="shared" ref="L817:P817" si="323">L818+L819+L820+L821+L822+L823+L824+L825+L830+L831+L832+L833+L834+L835+L836+L837</f>
        <v>0</v>
      </c>
      <c r="M817" s="81">
        <f t="shared" si="323"/>
        <v>3089617.36</v>
      </c>
      <c r="N817" s="81">
        <f t="shared" si="323"/>
        <v>0</v>
      </c>
      <c r="O817" s="81">
        <f t="shared" si="323"/>
        <v>0</v>
      </c>
      <c r="P817" s="81">
        <f t="shared" si="323"/>
        <v>0</v>
      </c>
    </row>
    <row r="818" spans="1:16" s="5" customFormat="1">
      <c r="A818" s="22"/>
      <c r="B818" s="23" t="s">
        <v>20</v>
      </c>
      <c r="C818" s="24">
        <f t="shared" ref="C818:C824" si="324">E818+F818+G818</f>
        <v>0</v>
      </c>
      <c r="D818" s="25"/>
      <c r="E818" s="25"/>
      <c r="F818" s="25"/>
      <c r="G818" s="25"/>
      <c r="H818" s="26"/>
      <c r="I818" s="24"/>
      <c r="J818" s="24"/>
      <c r="K818" s="27"/>
      <c r="L818" s="24">
        <f t="shared" ref="L818:L824" si="325">N818+O818+P818</f>
        <v>0</v>
      </c>
      <c r="M818" s="25"/>
      <c r="N818" s="25"/>
      <c r="O818" s="25"/>
      <c r="P818" s="25"/>
    </row>
    <row r="819" spans="1:16" s="1" customFormat="1">
      <c r="A819" s="28"/>
      <c r="B819" s="29" t="s">
        <v>21</v>
      </c>
      <c r="C819" s="24">
        <f t="shared" si="324"/>
        <v>0</v>
      </c>
      <c r="D819" s="30"/>
      <c r="E819" s="30"/>
      <c r="F819" s="30"/>
      <c r="G819" s="30"/>
      <c r="H819" s="31"/>
      <c r="I819" s="31"/>
      <c r="J819" s="31"/>
      <c r="K819" s="31"/>
      <c r="L819" s="24">
        <f t="shared" si="325"/>
        <v>0</v>
      </c>
      <c r="M819" s="30"/>
      <c r="N819" s="30"/>
      <c r="O819" s="30"/>
      <c r="P819" s="30"/>
    </row>
    <row r="820" spans="1:16" s="1" customFormat="1">
      <c r="A820" s="28"/>
      <c r="B820" s="32" t="s">
        <v>22</v>
      </c>
      <c r="C820" s="24">
        <f t="shared" si="324"/>
        <v>0</v>
      </c>
      <c r="D820" s="30"/>
      <c r="E820" s="30"/>
      <c r="F820" s="30"/>
      <c r="G820" s="30"/>
      <c r="H820" s="31"/>
      <c r="I820" s="31"/>
      <c r="J820" s="31"/>
      <c r="K820" s="31"/>
      <c r="L820" s="24">
        <f t="shared" si="325"/>
        <v>0</v>
      </c>
      <c r="M820" s="30"/>
      <c r="N820" s="30"/>
      <c r="O820" s="30"/>
      <c r="P820" s="30"/>
    </row>
    <row r="821" spans="1:16" s="1" customFormat="1">
      <c r="A821" s="28"/>
      <c r="B821" s="32" t="s">
        <v>23</v>
      </c>
      <c r="C821" s="24">
        <f t="shared" si="324"/>
        <v>19836</v>
      </c>
      <c r="D821" s="30"/>
      <c r="E821" s="30">
        <v>19836</v>
      </c>
      <c r="F821" s="30"/>
      <c r="G821" s="30"/>
      <c r="H821" s="31"/>
      <c r="I821" s="31"/>
      <c r="J821" s="31"/>
      <c r="K821" s="31"/>
      <c r="L821" s="24">
        <f t="shared" si="325"/>
        <v>0</v>
      </c>
      <c r="M821" s="30"/>
      <c r="N821" s="30"/>
      <c r="O821" s="30"/>
      <c r="P821" s="30"/>
    </row>
    <row r="822" spans="1:16" s="1" customFormat="1">
      <c r="A822" s="28"/>
      <c r="B822" s="29" t="s">
        <v>24</v>
      </c>
      <c r="C822" s="24">
        <f t="shared" si="324"/>
        <v>49.66</v>
      </c>
      <c r="D822" s="30">
        <f>35898.57</f>
        <v>35898.57</v>
      </c>
      <c r="E822" s="30"/>
      <c r="F822" s="30"/>
      <c r="G822" s="30">
        <v>49.66</v>
      </c>
      <c r="H822" s="31"/>
      <c r="I822" s="31"/>
      <c r="J822" s="31"/>
      <c r="K822" s="31"/>
      <c r="L822" s="24">
        <f t="shared" si="325"/>
        <v>0</v>
      </c>
      <c r="M822" s="30">
        <f>35898.57</f>
        <v>35898.57</v>
      </c>
      <c r="N822" s="30"/>
      <c r="O822" s="30"/>
      <c r="P822" s="30"/>
    </row>
    <row r="823" spans="1:16" s="1" customFormat="1">
      <c r="A823" s="28"/>
      <c r="B823" s="34" t="s">
        <v>25</v>
      </c>
      <c r="C823" s="24">
        <f t="shared" si="324"/>
        <v>0</v>
      </c>
      <c r="D823" s="30">
        <f>15689.66</f>
        <v>15689.66</v>
      </c>
      <c r="E823" s="30"/>
      <c r="F823" s="30"/>
      <c r="G823" s="30"/>
      <c r="H823" s="31"/>
      <c r="I823" s="31"/>
      <c r="J823" s="31"/>
      <c r="K823" s="31"/>
      <c r="L823" s="24">
        <f t="shared" si="325"/>
        <v>0</v>
      </c>
      <c r="M823" s="30">
        <f>15689.66</f>
        <v>15689.66</v>
      </c>
      <c r="N823" s="30"/>
      <c r="O823" s="30"/>
      <c r="P823" s="30"/>
    </row>
    <row r="824" spans="1:16" s="1" customFormat="1">
      <c r="A824" s="28"/>
      <c r="B824" s="32" t="s">
        <v>26</v>
      </c>
      <c r="C824" s="24">
        <f t="shared" si="324"/>
        <v>0</v>
      </c>
      <c r="D824" s="30"/>
      <c r="E824" s="30"/>
      <c r="F824" s="30"/>
      <c r="G824" s="30"/>
      <c r="H824" s="31"/>
      <c r="I824" s="31"/>
      <c r="J824" s="31"/>
      <c r="K824" s="31"/>
      <c r="L824" s="24">
        <f t="shared" si="325"/>
        <v>0</v>
      </c>
      <c r="M824" s="30"/>
      <c r="N824" s="30"/>
      <c r="O824" s="30"/>
      <c r="P824" s="30"/>
    </row>
    <row r="825" spans="1:16" s="1" customFormat="1" ht="30">
      <c r="A825" s="28"/>
      <c r="B825" s="35" t="s">
        <v>27</v>
      </c>
      <c r="C825" s="36">
        <f t="shared" ref="C825:G825" si="326">SUM(C826:C829)</f>
        <v>120460.37</v>
      </c>
      <c r="D825" s="36">
        <f t="shared" si="326"/>
        <v>8980.33</v>
      </c>
      <c r="E825" s="36">
        <f t="shared" si="326"/>
        <v>120460.37</v>
      </c>
      <c r="F825" s="36">
        <f t="shared" si="326"/>
        <v>0</v>
      </c>
      <c r="G825" s="36">
        <f t="shared" si="326"/>
        <v>0</v>
      </c>
      <c r="H825" s="31"/>
      <c r="I825" s="31"/>
      <c r="J825" s="31"/>
      <c r="K825" s="31"/>
      <c r="L825" s="36">
        <f t="shared" ref="L825:P825" si="327">SUM(L826:L829)</f>
        <v>0</v>
      </c>
      <c r="M825" s="36">
        <f t="shared" si="327"/>
        <v>8980.33</v>
      </c>
      <c r="N825" s="36">
        <f t="shared" si="327"/>
        <v>0</v>
      </c>
      <c r="O825" s="36">
        <f t="shared" si="327"/>
        <v>0</v>
      </c>
      <c r="P825" s="36">
        <f t="shared" si="327"/>
        <v>0</v>
      </c>
    </row>
    <row r="826" spans="1:16" s="1" customFormat="1">
      <c r="A826" s="28"/>
      <c r="B826" s="38" t="s">
        <v>28</v>
      </c>
      <c r="C826" s="24">
        <f t="shared" ref="C826:C836" si="328">E826+F826+G826</f>
        <v>83863.28</v>
      </c>
      <c r="D826" s="30"/>
      <c r="E826" s="30">
        <v>83863.28</v>
      </c>
      <c r="F826" s="30"/>
      <c r="G826" s="30"/>
      <c r="H826" s="31"/>
      <c r="I826" s="31"/>
      <c r="J826" s="31"/>
      <c r="K826" s="31"/>
      <c r="L826" s="24">
        <f t="shared" ref="L826:L836" si="329">N826+O826+P826</f>
        <v>0</v>
      </c>
      <c r="M826" s="30"/>
      <c r="N826" s="30"/>
      <c r="O826" s="30"/>
      <c r="P826" s="30"/>
    </row>
    <row r="827" spans="1:16" s="1" customFormat="1">
      <c r="A827" s="28"/>
      <c r="B827" s="38" t="s">
        <v>29</v>
      </c>
      <c r="C827" s="24">
        <f t="shared" si="328"/>
        <v>608</v>
      </c>
      <c r="D827" s="30"/>
      <c r="E827" s="30">
        <v>608</v>
      </c>
      <c r="F827" s="30"/>
      <c r="G827" s="30"/>
      <c r="H827" s="31"/>
      <c r="I827" s="31"/>
      <c r="J827" s="31"/>
      <c r="K827" s="31"/>
      <c r="L827" s="24">
        <f t="shared" si="329"/>
        <v>0</v>
      </c>
      <c r="M827" s="30"/>
      <c r="N827" s="30"/>
      <c r="O827" s="30"/>
      <c r="P827" s="30"/>
    </row>
    <row r="828" spans="1:16" s="1" customFormat="1">
      <c r="A828" s="28"/>
      <c r="B828" s="38" t="s">
        <v>30</v>
      </c>
      <c r="C828" s="24">
        <f t="shared" si="328"/>
        <v>35989.089999999997</v>
      </c>
      <c r="D828" s="30"/>
      <c r="E828" s="30">
        <v>35989.089999999997</v>
      </c>
      <c r="F828" s="30"/>
      <c r="G828" s="30"/>
      <c r="H828" s="31"/>
      <c r="I828" s="31"/>
      <c r="J828" s="31"/>
      <c r="K828" s="31"/>
      <c r="L828" s="24">
        <f t="shared" si="329"/>
        <v>0</v>
      </c>
      <c r="M828" s="30"/>
      <c r="N828" s="30"/>
      <c r="O828" s="30"/>
      <c r="P828" s="30"/>
    </row>
    <row r="829" spans="1:16" s="1" customFormat="1">
      <c r="A829" s="28"/>
      <c r="B829" s="38" t="s">
        <v>31</v>
      </c>
      <c r="C829" s="24">
        <f t="shared" si="328"/>
        <v>0</v>
      </c>
      <c r="D829" s="30">
        <v>8980.33</v>
      </c>
      <c r="E829" s="30"/>
      <c r="F829" s="30"/>
      <c r="G829" s="30"/>
      <c r="H829" s="31"/>
      <c r="I829" s="31"/>
      <c r="J829" s="31"/>
      <c r="K829" s="31"/>
      <c r="L829" s="24">
        <f t="shared" si="329"/>
        <v>0</v>
      </c>
      <c r="M829" s="30">
        <v>8980.33</v>
      </c>
      <c r="N829" s="30"/>
      <c r="O829" s="30"/>
      <c r="P829" s="30"/>
    </row>
    <row r="830" spans="1:16" s="1" customFormat="1" ht="30">
      <c r="A830" s="28"/>
      <c r="B830" s="39" t="s">
        <v>32</v>
      </c>
      <c r="C830" s="24">
        <f t="shared" si="328"/>
        <v>0</v>
      </c>
      <c r="D830" s="30"/>
      <c r="E830" s="30"/>
      <c r="F830" s="30"/>
      <c r="G830" s="30"/>
      <c r="H830" s="31"/>
      <c r="I830" s="31"/>
      <c r="J830" s="31"/>
      <c r="K830" s="31"/>
      <c r="L830" s="24">
        <f t="shared" si="329"/>
        <v>0</v>
      </c>
      <c r="M830" s="30"/>
      <c r="N830" s="30"/>
      <c r="O830" s="30"/>
      <c r="P830" s="30"/>
    </row>
    <row r="831" spans="1:16" s="1" customFormat="1" ht="30">
      <c r="A831" s="28"/>
      <c r="B831" s="39" t="s">
        <v>33</v>
      </c>
      <c r="C831" s="24">
        <f t="shared" si="328"/>
        <v>5826.13</v>
      </c>
      <c r="D831" s="30">
        <f>327.32+56800</f>
        <v>57127.32</v>
      </c>
      <c r="E831" s="30">
        <f>500+885+0.04+4441.09</f>
        <v>5826.13</v>
      </c>
      <c r="F831" s="30"/>
      <c r="G831" s="30"/>
      <c r="H831" s="31"/>
      <c r="I831" s="31"/>
      <c r="J831" s="31"/>
      <c r="K831" s="31"/>
      <c r="L831" s="24">
        <f t="shared" si="329"/>
        <v>0</v>
      </c>
      <c r="M831" s="30">
        <f>327.32+56800</f>
        <v>57127.32</v>
      </c>
      <c r="N831" s="30"/>
      <c r="O831" s="30"/>
      <c r="P831" s="30"/>
    </row>
    <row r="832" spans="1:16" s="1" customFormat="1" ht="30">
      <c r="A832" s="28"/>
      <c r="B832" s="40" t="s">
        <v>34</v>
      </c>
      <c r="C832" s="24">
        <f t="shared" si="328"/>
        <v>0</v>
      </c>
      <c r="D832" s="30"/>
      <c r="E832" s="30"/>
      <c r="F832" s="30"/>
      <c r="G832" s="30"/>
      <c r="H832" s="31"/>
      <c r="I832" s="31"/>
      <c r="J832" s="31"/>
      <c r="K832" s="31"/>
      <c r="L832" s="24">
        <f t="shared" si="329"/>
        <v>0</v>
      </c>
      <c r="M832" s="30"/>
      <c r="N832" s="30"/>
      <c r="O832" s="30"/>
      <c r="P832" s="30"/>
    </row>
    <row r="833" spans="1:16" s="1" customFormat="1">
      <c r="A833" s="28"/>
      <c r="B833" s="40" t="s">
        <v>35</v>
      </c>
      <c r="C833" s="24">
        <f t="shared" si="328"/>
        <v>4060.5</v>
      </c>
      <c r="D833" s="30"/>
      <c r="E833" s="30">
        <v>4060.5</v>
      </c>
      <c r="F833" s="30"/>
      <c r="G833" s="30"/>
      <c r="H833" s="31"/>
      <c r="I833" s="31"/>
      <c r="J833" s="31"/>
      <c r="K833" s="31"/>
      <c r="L833" s="24">
        <f t="shared" si="329"/>
        <v>0</v>
      </c>
      <c r="M833" s="30"/>
      <c r="N833" s="30"/>
      <c r="O833" s="30"/>
      <c r="P833" s="30"/>
    </row>
    <row r="834" spans="1:16" s="1" customFormat="1" ht="30">
      <c r="A834" s="28"/>
      <c r="B834" s="41" t="s">
        <v>36</v>
      </c>
      <c r="C834" s="24">
        <f t="shared" si="328"/>
        <v>0</v>
      </c>
      <c r="D834" s="30"/>
      <c r="E834" s="30"/>
      <c r="F834" s="30"/>
      <c r="G834" s="30"/>
      <c r="H834" s="31"/>
      <c r="I834" s="31"/>
      <c r="J834" s="31"/>
      <c r="K834" s="31"/>
      <c r="L834" s="24">
        <f t="shared" si="329"/>
        <v>0</v>
      </c>
      <c r="M834" s="30"/>
      <c r="N834" s="30"/>
      <c r="O834" s="30"/>
      <c r="P834" s="30"/>
    </row>
    <row r="835" spans="1:16" s="1" customFormat="1">
      <c r="A835" s="28"/>
      <c r="B835" s="42" t="s">
        <v>37</v>
      </c>
      <c r="C835" s="24">
        <f t="shared" si="328"/>
        <v>0</v>
      </c>
      <c r="D835" s="30">
        <f>5350+2143</f>
        <v>7493</v>
      </c>
      <c r="E835" s="30"/>
      <c r="F835" s="30"/>
      <c r="G835" s="30"/>
      <c r="H835" s="31"/>
      <c r="I835" s="31"/>
      <c r="J835" s="31"/>
      <c r="K835" s="31"/>
      <c r="L835" s="24">
        <f t="shared" si="329"/>
        <v>0</v>
      </c>
      <c r="M835" s="30">
        <f>5350+2143</f>
        <v>7493</v>
      </c>
      <c r="N835" s="30"/>
      <c r="O835" s="30"/>
      <c r="P835" s="30"/>
    </row>
    <row r="836" spans="1:16" s="1" customFormat="1" ht="30">
      <c r="A836" s="28"/>
      <c r="B836" s="42" t="s">
        <v>38</v>
      </c>
      <c r="C836" s="24">
        <f t="shared" si="328"/>
        <v>4480</v>
      </c>
      <c r="D836" s="30">
        <f>31980+94404+205000+542510.5+210878+399900+221654+14000+399600+258921.18+25685+499889</f>
        <v>2904421.68</v>
      </c>
      <c r="E836" s="30">
        <v>4480</v>
      </c>
      <c r="F836" s="30"/>
      <c r="G836" s="30"/>
      <c r="H836" s="31"/>
      <c r="I836" s="31"/>
      <c r="J836" s="31"/>
      <c r="K836" s="31"/>
      <c r="L836" s="24">
        <f t="shared" si="329"/>
        <v>0</v>
      </c>
      <c r="M836" s="30">
        <f>31980+94404+205000+542510.5+210878+399900+221654+14000+399600+258921.18+25685+499889</f>
        <v>2904421.68</v>
      </c>
      <c r="N836" s="30"/>
      <c r="O836" s="30"/>
      <c r="P836" s="30"/>
    </row>
    <row r="837" spans="1:16" s="1" customFormat="1" ht="30">
      <c r="A837" s="28"/>
      <c r="B837" s="43" t="s">
        <v>39</v>
      </c>
      <c r="C837" s="36">
        <f t="shared" ref="C837:G837" si="330">SUM(C838:C844)</f>
        <v>14902.76</v>
      </c>
      <c r="D837" s="36">
        <f t="shared" si="330"/>
        <v>60006.8</v>
      </c>
      <c r="E837" s="36">
        <f t="shared" si="330"/>
        <v>14902.76</v>
      </c>
      <c r="F837" s="36">
        <f t="shared" si="330"/>
        <v>0</v>
      </c>
      <c r="G837" s="36">
        <f t="shared" si="330"/>
        <v>0</v>
      </c>
      <c r="H837" s="31"/>
      <c r="I837" s="31"/>
      <c r="J837" s="31"/>
      <c r="K837" s="31"/>
      <c r="L837" s="36">
        <f t="shared" ref="L837:P837" si="331">SUM(L838:L844)</f>
        <v>0</v>
      </c>
      <c r="M837" s="36">
        <f t="shared" si="331"/>
        <v>60006.8</v>
      </c>
      <c r="N837" s="36">
        <f t="shared" si="331"/>
        <v>0</v>
      </c>
      <c r="O837" s="36">
        <f t="shared" si="331"/>
        <v>0</v>
      </c>
      <c r="P837" s="36">
        <f t="shared" si="331"/>
        <v>0</v>
      </c>
    </row>
    <row r="838" spans="1:16" s="1" customFormat="1" ht="30">
      <c r="A838" s="28" t="s">
        <v>40</v>
      </c>
      <c r="B838" s="39" t="s">
        <v>41</v>
      </c>
      <c r="C838" s="24">
        <f t="shared" ref="C838:C844" si="332">E838+F838+G838</f>
        <v>0</v>
      </c>
      <c r="D838" s="30"/>
      <c r="E838" s="30"/>
      <c r="F838" s="30"/>
      <c r="G838" s="30"/>
      <c r="H838" s="31"/>
      <c r="I838" s="31"/>
      <c r="J838" s="31"/>
      <c r="K838" s="31"/>
      <c r="L838" s="24">
        <f t="shared" ref="L838:L844" si="333">N838+O838+P838</f>
        <v>0</v>
      </c>
      <c r="M838" s="30"/>
      <c r="N838" s="30"/>
      <c r="O838" s="30"/>
      <c r="P838" s="30"/>
    </row>
    <row r="839" spans="1:16" s="1" customFormat="1">
      <c r="A839" s="28"/>
      <c r="B839" s="39" t="s">
        <v>42</v>
      </c>
      <c r="C839" s="24">
        <f t="shared" si="332"/>
        <v>0</v>
      </c>
      <c r="D839" s="30"/>
      <c r="E839" s="30"/>
      <c r="F839" s="30"/>
      <c r="G839" s="30"/>
      <c r="H839" s="31"/>
      <c r="I839" s="31"/>
      <c r="J839" s="31"/>
      <c r="K839" s="31"/>
      <c r="L839" s="24">
        <f t="shared" si="333"/>
        <v>0</v>
      </c>
      <c r="M839" s="30"/>
      <c r="N839" s="30"/>
      <c r="O839" s="30"/>
      <c r="P839" s="30"/>
    </row>
    <row r="840" spans="1:16" s="1" customFormat="1">
      <c r="A840" s="28"/>
      <c r="B840" s="39" t="s">
        <v>43</v>
      </c>
      <c r="C840" s="24">
        <f t="shared" si="332"/>
        <v>0</v>
      </c>
      <c r="D840" s="30"/>
      <c r="E840" s="30"/>
      <c r="F840" s="30"/>
      <c r="G840" s="30"/>
      <c r="H840" s="31"/>
      <c r="I840" s="31"/>
      <c r="J840" s="31"/>
      <c r="K840" s="31"/>
      <c r="L840" s="24">
        <f t="shared" si="333"/>
        <v>0</v>
      </c>
      <c r="M840" s="30"/>
      <c r="N840" s="30"/>
      <c r="O840" s="30"/>
      <c r="P840" s="30"/>
    </row>
    <row r="841" spans="1:16" s="1" customFormat="1">
      <c r="A841" s="28"/>
      <c r="B841" s="39" t="s">
        <v>44</v>
      </c>
      <c r="C841" s="24">
        <f t="shared" si="332"/>
        <v>0</v>
      </c>
      <c r="D841" s="30"/>
      <c r="E841" s="30"/>
      <c r="F841" s="30"/>
      <c r="G841" s="30"/>
      <c r="H841" s="31"/>
      <c r="I841" s="31"/>
      <c r="J841" s="31"/>
      <c r="K841" s="31"/>
      <c r="L841" s="24">
        <f t="shared" si="333"/>
        <v>0</v>
      </c>
      <c r="M841" s="30"/>
      <c r="N841" s="30"/>
      <c r="O841" s="30"/>
      <c r="P841" s="30"/>
    </row>
    <row r="842" spans="1:16" s="1" customFormat="1">
      <c r="A842" s="28"/>
      <c r="B842" s="39" t="s">
        <v>45</v>
      </c>
      <c r="C842" s="24">
        <f t="shared" si="332"/>
        <v>10771.76</v>
      </c>
      <c r="D842" s="30">
        <v>6.8</v>
      </c>
      <c r="E842" s="30">
        <v>10771.76</v>
      </c>
      <c r="F842" s="30"/>
      <c r="G842" s="30"/>
      <c r="H842" s="31"/>
      <c r="I842" s="31"/>
      <c r="J842" s="31"/>
      <c r="K842" s="31"/>
      <c r="L842" s="24">
        <f t="shared" si="333"/>
        <v>0</v>
      </c>
      <c r="M842" s="30">
        <v>6.8</v>
      </c>
      <c r="N842" s="30"/>
      <c r="O842" s="30"/>
      <c r="P842" s="30"/>
    </row>
    <row r="843" spans="1:16" s="1" customFormat="1" ht="30">
      <c r="A843" s="28"/>
      <c r="B843" s="39" t="s">
        <v>46</v>
      </c>
      <c r="C843" s="24">
        <f t="shared" si="332"/>
        <v>0</v>
      </c>
      <c r="D843" s="30"/>
      <c r="E843" s="30"/>
      <c r="F843" s="30"/>
      <c r="G843" s="30"/>
      <c r="H843" s="31"/>
      <c r="I843" s="31"/>
      <c r="J843" s="31"/>
      <c r="K843" s="31"/>
      <c r="L843" s="24">
        <f t="shared" si="333"/>
        <v>0</v>
      </c>
      <c r="M843" s="30"/>
      <c r="N843" s="30"/>
      <c r="O843" s="30"/>
      <c r="P843" s="30"/>
    </row>
    <row r="844" spans="1:16" s="1" customFormat="1">
      <c r="A844" s="28"/>
      <c r="B844" s="39" t="s">
        <v>47</v>
      </c>
      <c r="C844" s="24">
        <f t="shared" si="332"/>
        <v>4131</v>
      </c>
      <c r="D844" s="30">
        <f>43900+16100</f>
        <v>60000</v>
      </c>
      <c r="E844" s="30">
        <f>1131+3000</f>
        <v>4131</v>
      </c>
      <c r="F844" s="30"/>
      <c r="G844" s="30"/>
      <c r="H844" s="31"/>
      <c r="I844" s="31"/>
      <c r="J844" s="31"/>
      <c r="K844" s="31"/>
      <c r="L844" s="24">
        <f t="shared" si="333"/>
        <v>0</v>
      </c>
      <c r="M844" s="30">
        <f>43900+16100</f>
        <v>60000</v>
      </c>
      <c r="N844" s="30"/>
      <c r="O844" s="30"/>
      <c r="P844" s="30"/>
    </row>
    <row r="845" spans="1:16" s="1" customFormat="1" ht="36.75" customHeight="1">
      <c r="A845" s="211" t="s">
        <v>3</v>
      </c>
      <c r="B845" s="213" t="s">
        <v>4</v>
      </c>
      <c r="C845" s="213" t="s">
        <v>5</v>
      </c>
      <c r="D845" s="10" t="s">
        <v>6</v>
      </c>
      <c r="E845" s="215" t="s">
        <v>7</v>
      </c>
      <c r="F845" s="216"/>
      <c r="G845" s="217"/>
      <c r="H845" s="218" t="s">
        <v>8</v>
      </c>
      <c r="I845" s="218"/>
      <c r="J845" s="218"/>
      <c r="K845" s="11"/>
      <c r="L845" s="219" t="s">
        <v>9</v>
      </c>
      <c r="M845" s="12" t="s">
        <v>6</v>
      </c>
      <c r="N845" s="208" t="s">
        <v>10</v>
      </c>
      <c r="O845" s="209"/>
      <c r="P845" s="210"/>
    </row>
    <row r="846" spans="1:16" s="1" customFormat="1" ht="47.25" customHeight="1">
      <c r="A846" s="212"/>
      <c r="B846" s="214"/>
      <c r="C846" s="214"/>
      <c r="D846" s="13" t="s">
        <v>11</v>
      </c>
      <c r="E846" s="13" t="s">
        <v>12</v>
      </c>
      <c r="F846" s="13" t="s">
        <v>13</v>
      </c>
      <c r="G846" s="13" t="s">
        <v>14</v>
      </c>
      <c r="H846" s="14" t="s">
        <v>15</v>
      </c>
      <c r="I846" s="14" t="s">
        <v>16</v>
      </c>
      <c r="J846" s="14" t="s">
        <v>17</v>
      </c>
      <c r="K846" s="14" t="s">
        <v>18</v>
      </c>
      <c r="L846" s="220"/>
      <c r="M846" s="15" t="s">
        <v>11</v>
      </c>
      <c r="N846" s="15" t="s">
        <v>12</v>
      </c>
      <c r="O846" s="15" t="s">
        <v>13</v>
      </c>
      <c r="P846" s="15" t="s">
        <v>14</v>
      </c>
    </row>
    <row r="847" spans="1:16" s="1" customFormat="1">
      <c r="A847" s="80">
        <v>7</v>
      </c>
      <c r="B847" s="17" t="s">
        <v>75</v>
      </c>
      <c r="C847" s="81">
        <f t="shared" ref="C847:G847" si="334">C848+C849+C850+C851+C852+C853+C854+C855+C860+C861+C862+C863+C864+C865+C866+C867</f>
        <v>829.81</v>
      </c>
      <c r="D847" s="81">
        <f t="shared" si="334"/>
        <v>94587.290000000008</v>
      </c>
      <c r="E847" s="81">
        <f t="shared" si="334"/>
        <v>829.81</v>
      </c>
      <c r="F847" s="81">
        <f t="shared" si="334"/>
        <v>0</v>
      </c>
      <c r="G847" s="81">
        <f t="shared" si="334"/>
        <v>0</v>
      </c>
      <c r="H847" s="82"/>
      <c r="I847" s="83"/>
      <c r="J847" s="83"/>
      <c r="K847" s="84"/>
      <c r="L847" s="81">
        <f t="shared" ref="L847:P847" si="335">L848+L849+L850+L851+L852+L853+L854+L855+L860+L861+L862+L863+L864+L865+L866+L867</f>
        <v>0</v>
      </c>
      <c r="M847" s="81">
        <f t="shared" si="335"/>
        <v>94587.290000000008</v>
      </c>
      <c r="N847" s="81">
        <f t="shared" si="335"/>
        <v>0</v>
      </c>
      <c r="O847" s="81">
        <f t="shared" si="335"/>
        <v>0</v>
      </c>
      <c r="P847" s="81">
        <f t="shared" si="335"/>
        <v>0</v>
      </c>
    </row>
    <row r="848" spans="1:16" s="1" customFormat="1">
      <c r="A848" s="22"/>
      <c r="B848" s="23" t="s">
        <v>20</v>
      </c>
      <c r="C848" s="24">
        <f t="shared" ref="C848:C854" si="336">E848+F848+G848</f>
        <v>0</v>
      </c>
      <c r="D848" s="25"/>
      <c r="E848" s="25"/>
      <c r="F848" s="25"/>
      <c r="G848" s="25"/>
      <c r="H848" s="26"/>
      <c r="I848" s="24"/>
      <c r="J848" s="24"/>
      <c r="K848" s="27"/>
      <c r="L848" s="24">
        <f t="shared" ref="L848:L854" si="337">N848+O848+P848</f>
        <v>0</v>
      </c>
      <c r="M848" s="25"/>
      <c r="N848" s="25"/>
      <c r="O848" s="25"/>
      <c r="P848" s="25"/>
    </row>
    <row r="849" spans="1:16" s="1" customFormat="1">
      <c r="A849" s="28"/>
      <c r="B849" s="29" t="s">
        <v>21</v>
      </c>
      <c r="C849" s="24">
        <f t="shared" si="336"/>
        <v>0</v>
      </c>
      <c r="D849" s="30"/>
      <c r="E849" s="30"/>
      <c r="F849" s="30"/>
      <c r="G849" s="30"/>
      <c r="H849" s="31"/>
      <c r="I849" s="31"/>
      <c r="J849" s="31"/>
      <c r="K849" s="31"/>
      <c r="L849" s="24">
        <f t="shared" si="337"/>
        <v>0</v>
      </c>
      <c r="M849" s="30"/>
      <c r="N849" s="30"/>
      <c r="O849" s="30"/>
      <c r="P849" s="30"/>
    </row>
    <row r="850" spans="1:16" s="1" customFormat="1">
      <c r="A850" s="28"/>
      <c r="B850" s="32" t="s">
        <v>22</v>
      </c>
      <c r="C850" s="24">
        <f t="shared" si="336"/>
        <v>0</v>
      </c>
      <c r="D850" s="30"/>
      <c r="E850" s="30"/>
      <c r="F850" s="30"/>
      <c r="G850" s="30"/>
      <c r="H850" s="31"/>
      <c r="I850" s="31"/>
      <c r="J850" s="31"/>
      <c r="K850" s="31"/>
      <c r="L850" s="24">
        <f t="shared" si="337"/>
        <v>0</v>
      </c>
      <c r="M850" s="30"/>
      <c r="N850" s="30"/>
      <c r="O850" s="30"/>
      <c r="P850" s="30"/>
    </row>
    <row r="851" spans="1:16" s="1" customFormat="1">
      <c r="A851" s="28"/>
      <c r="B851" s="32" t="s">
        <v>23</v>
      </c>
      <c r="C851" s="24">
        <f t="shared" si="336"/>
        <v>0</v>
      </c>
      <c r="D851" s="30"/>
      <c r="E851" s="30"/>
      <c r="F851" s="30"/>
      <c r="G851" s="30"/>
      <c r="H851" s="31"/>
      <c r="I851" s="31"/>
      <c r="J851" s="31"/>
      <c r="K851" s="31"/>
      <c r="L851" s="24">
        <f t="shared" si="337"/>
        <v>0</v>
      </c>
      <c r="M851" s="30"/>
      <c r="N851" s="30"/>
      <c r="O851" s="30"/>
      <c r="P851" s="30"/>
    </row>
    <row r="852" spans="1:16" s="1" customFormat="1">
      <c r="A852" s="28"/>
      <c r="B852" s="29" t="s">
        <v>24</v>
      </c>
      <c r="C852" s="24">
        <f t="shared" si="336"/>
        <v>0</v>
      </c>
      <c r="D852" s="30"/>
      <c r="E852" s="30"/>
      <c r="F852" s="30"/>
      <c r="G852" s="30"/>
      <c r="H852" s="31"/>
      <c r="I852" s="31"/>
      <c r="J852" s="31"/>
      <c r="K852" s="31"/>
      <c r="L852" s="24">
        <f t="shared" si="337"/>
        <v>0</v>
      </c>
      <c r="M852" s="30"/>
      <c r="N852" s="30"/>
      <c r="O852" s="30"/>
      <c r="P852" s="30"/>
    </row>
    <row r="853" spans="1:16" s="1" customFormat="1">
      <c r="A853" s="28"/>
      <c r="B853" s="34" t="s">
        <v>25</v>
      </c>
      <c r="C853" s="24">
        <f t="shared" si="336"/>
        <v>829.81</v>
      </c>
      <c r="D853" s="30">
        <v>96.49</v>
      </c>
      <c r="E853" s="30">
        <v>829.81</v>
      </c>
      <c r="F853" s="30"/>
      <c r="G853" s="30"/>
      <c r="H853" s="31"/>
      <c r="I853" s="31"/>
      <c r="J853" s="31"/>
      <c r="K853" s="31"/>
      <c r="L853" s="24">
        <f t="shared" si="337"/>
        <v>0</v>
      </c>
      <c r="M853" s="30">
        <v>96.49</v>
      </c>
      <c r="N853" s="30"/>
      <c r="O853" s="30"/>
      <c r="P853" s="30"/>
    </row>
    <row r="854" spans="1:16" s="1" customFormat="1">
      <c r="A854" s="28"/>
      <c r="B854" s="32" t="s">
        <v>26</v>
      </c>
      <c r="C854" s="24">
        <f t="shared" si="336"/>
        <v>0</v>
      </c>
      <c r="D854" s="30"/>
      <c r="E854" s="30"/>
      <c r="F854" s="30"/>
      <c r="G854" s="30"/>
      <c r="H854" s="31"/>
      <c r="I854" s="31"/>
      <c r="J854" s="31"/>
      <c r="K854" s="31"/>
      <c r="L854" s="24">
        <f t="shared" si="337"/>
        <v>0</v>
      </c>
      <c r="M854" s="30"/>
      <c r="N854" s="30"/>
      <c r="O854" s="30"/>
      <c r="P854" s="30"/>
    </row>
    <row r="855" spans="1:16" s="1" customFormat="1" ht="30">
      <c r="A855" s="28"/>
      <c r="B855" s="35" t="s">
        <v>27</v>
      </c>
      <c r="C855" s="36">
        <f t="shared" ref="C855:G855" si="338">SUM(C856:C859)</f>
        <v>0</v>
      </c>
      <c r="D855" s="36">
        <f t="shared" si="338"/>
        <v>93416.430000000008</v>
      </c>
      <c r="E855" s="36">
        <f t="shared" si="338"/>
        <v>0</v>
      </c>
      <c r="F855" s="36">
        <f t="shared" si="338"/>
        <v>0</v>
      </c>
      <c r="G855" s="36">
        <f t="shared" si="338"/>
        <v>0</v>
      </c>
      <c r="H855" s="31"/>
      <c r="I855" s="31"/>
      <c r="J855" s="31"/>
      <c r="K855" s="31"/>
      <c r="L855" s="36">
        <f t="shared" ref="L855:P855" si="339">SUM(L856:L859)</f>
        <v>0</v>
      </c>
      <c r="M855" s="36">
        <f t="shared" si="339"/>
        <v>93416.430000000008</v>
      </c>
      <c r="N855" s="36">
        <f t="shared" si="339"/>
        <v>0</v>
      </c>
      <c r="O855" s="36">
        <f t="shared" si="339"/>
        <v>0</v>
      </c>
      <c r="P855" s="36">
        <f t="shared" si="339"/>
        <v>0</v>
      </c>
    </row>
    <row r="856" spans="1:16" s="1" customFormat="1">
      <c r="A856" s="28"/>
      <c r="B856" s="38" t="s">
        <v>28</v>
      </c>
      <c r="C856" s="24">
        <f t="shared" ref="C856:C866" si="340">E856+F856+G856</f>
        <v>0</v>
      </c>
      <c r="D856" s="30">
        <v>27947.62</v>
      </c>
      <c r="E856" s="30"/>
      <c r="F856" s="30"/>
      <c r="G856" s="30"/>
      <c r="H856" s="31"/>
      <c r="I856" s="31"/>
      <c r="J856" s="31"/>
      <c r="K856" s="31"/>
      <c r="L856" s="24">
        <f t="shared" ref="L856:L866" si="341">N856+O856+P856</f>
        <v>0</v>
      </c>
      <c r="M856" s="30">
        <v>27947.62</v>
      </c>
      <c r="N856" s="30"/>
      <c r="O856" s="30"/>
      <c r="P856" s="30"/>
    </row>
    <row r="857" spans="1:16" s="1" customFormat="1">
      <c r="A857" s="28"/>
      <c r="B857" s="38" t="s">
        <v>29</v>
      </c>
      <c r="C857" s="24">
        <f t="shared" si="340"/>
        <v>0</v>
      </c>
      <c r="D857" s="30">
        <v>28530.97</v>
      </c>
      <c r="E857" s="30"/>
      <c r="F857" s="30"/>
      <c r="G857" s="30"/>
      <c r="H857" s="31"/>
      <c r="I857" s="31"/>
      <c r="J857" s="31"/>
      <c r="K857" s="31"/>
      <c r="L857" s="24">
        <f t="shared" si="341"/>
        <v>0</v>
      </c>
      <c r="M857" s="30">
        <v>28530.97</v>
      </c>
      <c r="N857" s="30"/>
      <c r="O857" s="30"/>
      <c r="P857" s="30"/>
    </row>
    <row r="858" spans="1:16" s="1" customFormat="1">
      <c r="A858" s="28"/>
      <c r="B858" s="38" t="s">
        <v>30</v>
      </c>
      <c r="C858" s="24">
        <f t="shared" si="340"/>
        <v>0</v>
      </c>
      <c r="D858" s="30">
        <v>14164.32</v>
      </c>
      <c r="E858" s="30"/>
      <c r="F858" s="30"/>
      <c r="G858" s="30"/>
      <c r="H858" s="31"/>
      <c r="I858" s="31"/>
      <c r="J858" s="31"/>
      <c r="K858" s="31"/>
      <c r="L858" s="24">
        <f t="shared" si="341"/>
        <v>0</v>
      </c>
      <c r="M858" s="30">
        <v>14164.32</v>
      </c>
      <c r="N858" s="30"/>
      <c r="O858" s="30"/>
      <c r="P858" s="30"/>
    </row>
    <row r="859" spans="1:16" s="1" customFormat="1">
      <c r="A859" s="28"/>
      <c r="B859" s="38" t="s">
        <v>31</v>
      </c>
      <c r="C859" s="24">
        <f t="shared" si="340"/>
        <v>0</v>
      </c>
      <c r="D859" s="30">
        <v>22773.52</v>
      </c>
      <c r="E859" s="30"/>
      <c r="F859" s="30"/>
      <c r="G859" s="30"/>
      <c r="H859" s="31"/>
      <c r="I859" s="31"/>
      <c r="J859" s="31"/>
      <c r="K859" s="31"/>
      <c r="L859" s="24">
        <f t="shared" si="341"/>
        <v>0</v>
      </c>
      <c r="M859" s="30">
        <v>22773.52</v>
      </c>
      <c r="N859" s="30"/>
      <c r="O859" s="30"/>
      <c r="P859" s="30"/>
    </row>
    <row r="860" spans="1:16" s="1" customFormat="1" ht="30">
      <c r="A860" s="28"/>
      <c r="B860" s="39" t="s">
        <v>32</v>
      </c>
      <c r="C860" s="24">
        <f t="shared" si="340"/>
        <v>0</v>
      </c>
      <c r="D860" s="30"/>
      <c r="E860" s="30"/>
      <c r="F860" s="30"/>
      <c r="G860" s="30"/>
      <c r="H860" s="31"/>
      <c r="I860" s="31"/>
      <c r="J860" s="31"/>
      <c r="K860" s="31"/>
      <c r="L860" s="24">
        <f t="shared" si="341"/>
        <v>0</v>
      </c>
      <c r="M860" s="30"/>
      <c r="N860" s="30"/>
      <c r="O860" s="30"/>
      <c r="P860" s="30"/>
    </row>
    <row r="861" spans="1:16" s="1" customFormat="1" ht="30">
      <c r="A861" s="28"/>
      <c r="B861" s="39" t="s">
        <v>33</v>
      </c>
      <c r="C861" s="24">
        <f t="shared" si="340"/>
        <v>0</v>
      </c>
      <c r="D861" s="30">
        <v>1074.3699999999999</v>
      </c>
      <c r="E861" s="30"/>
      <c r="F861" s="30"/>
      <c r="G861" s="30"/>
      <c r="H861" s="31"/>
      <c r="I861" s="31"/>
      <c r="J861" s="31"/>
      <c r="K861" s="31"/>
      <c r="L861" s="24">
        <f t="shared" si="341"/>
        <v>0</v>
      </c>
      <c r="M861" s="30">
        <v>1074.3699999999999</v>
      </c>
      <c r="N861" s="30"/>
      <c r="O861" s="30"/>
      <c r="P861" s="30"/>
    </row>
    <row r="862" spans="1:16" s="1" customFormat="1" ht="30">
      <c r="A862" s="28"/>
      <c r="B862" s="40" t="s">
        <v>34</v>
      </c>
      <c r="C862" s="24">
        <f t="shared" si="340"/>
        <v>0</v>
      </c>
      <c r="D862" s="30"/>
      <c r="E862" s="30"/>
      <c r="F862" s="30"/>
      <c r="G862" s="30"/>
      <c r="H862" s="31"/>
      <c r="I862" s="31"/>
      <c r="J862" s="31"/>
      <c r="K862" s="31"/>
      <c r="L862" s="24">
        <f t="shared" si="341"/>
        <v>0</v>
      </c>
      <c r="M862" s="30"/>
      <c r="N862" s="30"/>
      <c r="O862" s="30"/>
      <c r="P862" s="30"/>
    </row>
    <row r="863" spans="1:16" s="1" customFormat="1">
      <c r="A863" s="28"/>
      <c r="B863" s="40" t="s">
        <v>35</v>
      </c>
      <c r="C863" s="24">
        <f t="shared" si="340"/>
        <v>0</v>
      </c>
      <c r="D863" s="30"/>
      <c r="E863" s="30"/>
      <c r="F863" s="30"/>
      <c r="G863" s="30"/>
      <c r="H863" s="31"/>
      <c r="I863" s="31"/>
      <c r="J863" s="31"/>
      <c r="K863" s="31"/>
      <c r="L863" s="24">
        <f t="shared" si="341"/>
        <v>0</v>
      </c>
      <c r="M863" s="30"/>
      <c r="N863" s="30"/>
      <c r="O863" s="30"/>
      <c r="P863" s="30"/>
    </row>
    <row r="864" spans="1:16" s="1" customFormat="1" ht="30">
      <c r="A864" s="28"/>
      <c r="B864" s="41" t="s">
        <v>36</v>
      </c>
      <c r="C864" s="24">
        <f t="shared" si="340"/>
        <v>0</v>
      </c>
      <c r="D864" s="30"/>
      <c r="E864" s="30"/>
      <c r="F864" s="30"/>
      <c r="G864" s="30"/>
      <c r="H864" s="31"/>
      <c r="I864" s="31"/>
      <c r="J864" s="31"/>
      <c r="K864" s="31"/>
      <c r="L864" s="24">
        <f t="shared" si="341"/>
        <v>0</v>
      </c>
      <c r="M864" s="30"/>
      <c r="N864" s="30"/>
      <c r="O864" s="30"/>
      <c r="P864" s="30"/>
    </row>
    <row r="865" spans="1:16" s="1" customFormat="1">
      <c r="A865" s="28"/>
      <c r="B865" s="42" t="s">
        <v>37</v>
      </c>
      <c r="C865" s="24">
        <f t="shared" si="340"/>
        <v>0</v>
      </c>
      <c r="D865" s="30"/>
      <c r="E865" s="30"/>
      <c r="F865" s="30"/>
      <c r="G865" s="30"/>
      <c r="H865" s="31"/>
      <c r="I865" s="31"/>
      <c r="J865" s="31"/>
      <c r="K865" s="31"/>
      <c r="L865" s="24">
        <f t="shared" si="341"/>
        <v>0</v>
      </c>
      <c r="M865" s="30"/>
      <c r="N865" s="30"/>
      <c r="O865" s="30"/>
      <c r="P865" s="30"/>
    </row>
    <row r="866" spans="1:16" s="1" customFormat="1" ht="30">
      <c r="A866" s="28"/>
      <c r="B866" s="42" t="s">
        <v>38</v>
      </c>
      <c r="C866" s="24">
        <f t="shared" si="340"/>
        <v>0</v>
      </c>
      <c r="D866" s="30"/>
      <c r="E866" s="30"/>
      <c r="F866" s="30"/>
      <c r="G866" s="30"/>
      <c r="H866" s="31"/>
      <c r="I866" s="31"/>
      <c r="J866" s="31"/>
      <c r="K866" s="31"/>
      <c r="L866" s="24">
        <f t="shared" si="341"/>
        <v>0</v>
      </c>
      <c r="M866" s="30"/>
      <c r="N866" s="30"/>
      <c r="O866" s="30"/>
      <c r="P866" s="30"/>
    </row>
    <row r="867" spans="1:16" s="1" customFormat="1" ht="30">
      <c r="A867" s="28"/>
      <c r="B867" s="43" t="s">
        <v>39</v>
      </c>
      <c r="C867" s="36">
        <f t="shared" ref="C867:G867" si="342">SUM(C868:C874)</f>
        <v>0</v>
      </c>
      <c r="D867" s="36">
        <f t="shared" si="342"/>
        <v>0</v>
      </c>
      <c r="E867" s="36">
        <f t="shared" si="342"/>
        <v>0</v>
      </c>
      <c r="F867" s="36">
        <f t="shared" si="342"/>
        <v>0</v>
      </c>
      <c r="G867" s="36">
        <f t="shared" si="342"/>
        <v>0</v>
      </c>
      <c r="H867" s="31"/>
      <c r="I867" s="31"/>
      <c r="J867" s="31"/>
      <c r="K867" s="31"/>
      <c r="L867" s="36">
        <f t="shared" ref="L867:P867" si="343">SUM(L868:L874)</f>
        <v>0</v>
      </c>
      <c r="M867" s="36">
        <f t="shared" si="343"/>
        <v>0</v>
      </c>
      <c r="N867" s="36">
        <f t="shared" si="343"/>
        <v>0</v>
      </c>
      <c r="O867" s="36">
        <f t="shared" si="343"/>
        <v>0</v>
      </c>
      <c r="P867" s="36">
        <f t="shared" si="343"/>
        <v>0</v>
      </c>
    </row>
    <row r="868" spans="1:16" s="1" customFormat="1" ht="30">
      <c r="A868" s="28" t="s">
        <v>40</v>
      </c>
      <c r="B868" s="39" t="s">
        <v>41</v>
      </c>
      <c r="C868" s="24">
        <f t="shared" ref="C868:C874" si="344">E868+F868+G868</f>
        <v>0</v>
      </c>
      <c r="D868" s="30"/>
      <c r="E868" s="30"/>
      <c r="F868" s="30"/>
      <c r="G868" s="30"/>
      <c r="H868" s="31"/>
      <c r="I868" s="31"/>
      <c r="J868" s="31"/>
      <c r="K868" s="31"/>
      <c r="L868" s="24">
        <f t="shared" ref="L868:L874" si="345">N868+O868+P868</f>
        <v>0</v>
      </c>
      <c r="M868" s="30"/>
      <c r="N868" s="30"/>
      <c r="O868" s="30"/>
      <c r="P868" s="30"/>
    </row>
    <row r="869" spans="1:16" s="1" customFormat="1">
      <c r="A869" s="28"/>
      <c r="B869" s="39" t="s">
        <v>42</v>
      </c>
      <c r="C869" s="24">
        <f t="shared" si="344"/>
        <v>0</v>
      </c>
      <c r="D869" s="30"/>
      <c r="E869" s="30"/>
      <c r="F869" s="30"/>
      <c r="G869" s="30"/>
      <c r="H869" s="31"/>
      <c r="I869" s="31"/>
      <c r="J869" s="31"/>
      <c r="K869" s="31"/>
      <c r="L869" s="24">
        <f t="shared" si="345"/>
        <v>0</v>
      </c>
      <c r="M869" s="30"/>
      <c r="N869" s="30"/>
      <c r="O869" s="30"/>
      <c r="P869" s="30"/>
    </row>
    <row r="870" spans="1:16" s="1" customFormat="1">
      <c r="A870" s="28"/>
      <c r="B870" s="39" t="s">
        <v>43</v>
      </c>
      <c r="C870" s="24">
        <f t="shared" si="344"/>
        <v>0</v>
      </c>
      <c r="D870" s="30"/>
      <c r="E870" s="30"/>
      <c r="F870" s="30"/>
      <c r="G870" s="30"/>
      <c r="H870" s="31"/>
      <c r="I870" s="31"/>
      <c r="J870" s="31"/>
      <c r="K870" s="31"/>
      <c r="L870" s="24">
        <f t="shared" si="345"/>
        <v>0</v>
      </c>
      <c r="M870" s="30"/>
      <c r="N870" s="30"/>
      <c r="O870" s="30"/>
      <c r="P870" s="30"/>
    </row>
    <row r="871" spans="1:16" s="1" customFormat="1">
      <c r="A871" s="28"/>
      <c r="B871" s="39" t="s">
        <v>44</v>
      </c>
      <c r="C871" s="24">
        <f t="shared" si="344"/>
        <v>0</v>
      </c>
      <c r="D871" s="30"/>
      <c r="E871" s="30"/>
      <c r="F871" s="30"/>
      <c r="G871" s="30"/>
      <c r="H871" s="31"/>
      <c r="I871" s="31"/>
      <c r="J871" s="31"/>
      <c r="K871" s="31"/>
      <c r="L871" s="24">
        <f t="shared" si="345"/>
        <v>0</v>
      </c>
      <c r="M871" s="30"/>
      <c r="N871" s="30"/>
      <c r="O871" s="30"/>
      <c r="P871" s="30"/>
    </row>
    <row r="872" spans="1:16" s="1" customFormat="1">
      <c r="A872" s="28"/>
      <c r="B872" s="39" t="s">
        <v>45</v>
      </c>
      <c r="C872" s="24">
        <f t="shared" si="344"/>
        <v>0</v>
      </c>
      <c r="D872" s="30"/>
      <c r="E872" s="30"/>
      <c r="F872" s="30"/>
      <c r="G872" s="30"/>
      <c r="H872" s="31"/>
      <c r="I872" s="31"/>
      <c r="J872" s="31"/>
      <c r="K872" s="31"/>
      <c r="L872" s="24">
        <f t="shared" si="345"/>
        <v>0</v>
      </c>
      <c r="M872" s="30"/>
      <c r="N872" s="30"/>
      <c r="O872" s="30"/>
      <c r="P872" s="30"/>
    </row>
    <row r="873" spans="1:16" s="1" customFormat="1" ht="30">
      <c r="A873" s="28"/>
      <c r="B873" s="39" t="s">
        <v>46</v>
      </c>
      <c r="C873" s="24">
        <f t="shared" si="344"/>
        <v>0</v>
      </c>
      <c r="D873" s="30"/>
      <c r="E873" s="30"/>
      <c r="F873" s="30"/>
      <c r="G873" s="30"/>
      <c r="H873" s="31"/>
      <c r="I873" s="31"/>
      <c r="J873" s="31"/>
      <c r="K873" s="31"/>
      <c r="L873" s="24">
        <f t="shared" si="345"/>
        <v>0</v>
      </c>
      <c r="M873" s="30"/>
      <c r="N873" s="30"/>
      <c r="O873" s="30"/>
      <c r="P873" s="30"/>
    </row>
    <row r="874" spans="1:16" s="1" customFormat="1">
      <c r="A874" s="28"/>
      <c r="B874" s="39" t="s">
        <v>47</v>
      </c>
      <c r="C874" s="24">
        <f t="shared" si="344"/>
        <v>0</v>
      </c>
      <c r="D874" s="30"/>
      <c r="E874" s="30"/>
      <c r="F874" s="30"/>
      <c r="G874" s="30"/>
      <c r="H874" s="31"/>
      <c r="I874" s="31"/>
      <c r="J874" s="31"/>
      <c r="K874" s="31"/>
      <c r="L874" s="24">
        <f t="shared" si="345"/>
        <v>0</v>
      </c>
      <c r="M874" s="30"/>
      <c r="N874" s="30"/>
      <c r="O874" s="30"/>
      <c r="P874" s="30"/>
    </row>
    <row r="875" spans="1:16" s="1" customFormat="1" ht="36.75" customHeight="1">
      <c r="A875" s="211" t="s">
        <v>3</v>
      </c>
      <c r="B875" s="213" t="s">
        <v>4</v>
      </c>
      <c r="C875" s="213" t="s">
        <v>5</v>
      </c>
      <c r="D875" s="10" t="s">
        <v>6</v>
      </c>
      <c r="E875" s="215" t="s">
        <v>7</v>
      </c>
      <c r="F875" s="216"/>
      <c r="G875" s="217"/>
      <c r="H875" s="218" t="s">
        <v>8</v>
      </c>
      <c r="I875" s="218"/>
      <c r="J875" s="218"/>
      <c r="K875" s="11"/>
      <c r="L875" s="219" t="s">
        <v>9</v>
      </c>
      <c r="M875" s="12" t="s">
        <v>6</v>
      </c>
      <c r="N875" s="208" t="s">
        <v>10</v>
      </c>
      <c r="O875" s="209"/>
      <c r="P875" s="210"/>
    </row>
    <row r="876" spans="1:16" s="1" customFormat="1" ht="47.25" customHeight="1">
      <c r="A876" s="212"/>
      <c r="B876" s="214"/>
      <c r="C876" s="214"/>
      <c r="D876" s="13" t="s">
        <v>11</v>
      </c>
      <c r="E876" s="13" t="s">
        <v>12</v>
      </c>
      <c r="F876" s="13" t="s">
        <v>13</v>
      </c>
      <c r="G876" s="13" t="s">
        <v>14</v>
      </c>
      <c r="H876" s="14" t="s">
        <v>15</v>
      </c>
      <c r="I876" s="14" t="s">
        <v>16</v>
      </c>
      <c r="J876" s="14" t="s">
        <v>17</v>
      </c>
      <c r="K876" s="14" t="s">
        <v>18</v>
      </c>
      <c r="L876" s="220"/>
      <c r="M876" s="15" t="s">
        <v>11</v>
      </c>
      <c r="N876" s="15" t="s">
        <v>12</v>
      </c>
      <c r="O876" s="15" t="s">
        <v>13</v>
      </c>
      <c r="P876" s="15" t="s">
        <v>14</v>
      </c>
    </row>
    <row r="877" spans="1:16" s="1" customFormat="1">
      <c r="A877" s="80">
        <v>8</v>
      </c>
      <c r="B877" s="17" t="s">
        <v>76</v>
      </c>
      <c r="C877" s="81">
        <f t="shared" ref="C877:G877" si="346">C878+C879+C880+C881+C882+C883+C884+C885+C890+C891+C892+C893+C894+C895+C896+C897</f>
        <v>0</v>
      </c>
      <c r="D877" s="81">
        <f t="shared" si="346"/>
        <v>0</v>
      </c>
      <c r="E877" s="81">
        <f t="shared" si="346"/>
        <v>0</v>
      </c>
      <c r="F877" s="81">
        <f t="shared" si="346"/>
        <v>0</v>
      </c>
      <c r="G877" s="81">
        <f t="shared" si="346"/>
        <v>0</v>
      </c>
      <c r="H877" s="82"/>
      <c r="I877" s="83"/>
      <c r="J877" s="83"/>
      <c r="K877" s="84"/>
      <c r="L877" s="81">
        <f t="shared" ref="L877:P877" si="347">L878+L879+L880+L881+L882+L883+L884+L885+L890+L891+L892+L893+L894+L895+L896+L897</f>
        <v>0</v>
      </c>
      <c r="M877" s="81">
        <f t="shared" si="347"/>
        <v>0</v>
      </c>
      <c r="N877" s="81">
        <f t="shared" si="347"/>
        <v>0</v>
      </c>
      <c r="O877" s="81">
        <f t="shared" si="347"/>
        <v>0</v>
      </c>
      <c r="P877" s="81">
        <f t="shared" si="347"/>
        <v>0</v>
      </c>
    </row>
    <row r="878" spans="1:16" s="1" customFormat="1">
      <c r="A878" s="22"/>
      <c r="B878" s="23" t="s">
        <v>20</v>
      </c>
      <c r="C878" s="24">
        <f t="shared" ref="C878:C884" si="348">E878+F878+G878</f>
        <v>0</v>
      </c>
      <c r="D878" s="25"/>
      <c r="E878" s="25"/>
      <c r="F878" s="25"/>
      <c r="G878" s="25"/>
      <c r="H878" s="26"/>
      <c r="I878" s="24"/>
      <c r="J878" s="24"/>
      <c r="K878" s="27"/>
      <c r="L878" s="24">
        <f t="shared" ref="L878:L884" si="349">N878+O878+P878</f>
        <v>0</v>
      </c>
      <c r="M878" s="25"/>
      <c r="N878" s="25"/>
      <c r="O878" s="25"/>
      <c r="P878" s="25"/>
    </row>
    <row r="879" spans="1:16" s="1" customFormat="1">
      <c r="A879" s="28"/>
      <c r="B879" s="29" t="s">
        <v>21</v>
      </c>
      <c r="C879" s="24">
        <f t="shared" si="348"/>
        <v>0</v>
      </c>
      <c r="D879" s="30"/>
      <c r="E879" s="30"/>
      <c r="F879" s="30"/>
      <c r="G879" s="30"/>
      <c r="H879" s="31"/>
      <c r="I879" s="31"/>
      <c r="J879" s="31"/>
      <c r="K879" s="31"/>
      <c r="L879" s="24">
        <f t="shared" si="349"/>
        <v>0</v>
      </c>
      <c r="M879" s="30"/>
      <c r="N879" s="30"/>
      <c r="O879" s="30"/>
      <c r="P879" s="30"/>
    </row>
    <row r="880" spans="1:16" s="1" customFormat="1">
      <c r="A880" s="28"/>
      <c r="B880" s="32" t="s">
        <v>22</v>
      </c>
      <c r="C880" s="24">
        <f t="shared" si="348"/>
        <v>0</v>
      </c>
      <c r="D880" s="30"/>
      <c r="E880" s="30"/>
      <c r="F880" s="30"/>
      <c r="G880" s="30"/>
      <c r="H880" s="31"/>
      <c r="I880" s="31"/>
      <c r="J880" s="31"/>
      <c r="K880" s="31"/>
      <c r="L880" s="24">
        <f t="shared" si="349"/>
        <v>0</v>
      </c>
      <c r="M880" s="30"/>
      <c r="N880" s="30"/>
      <c r="O880" s="30"/>
      <c r="P880" s="30"/>
    </row>
    <row r="881" spans="1:16" s="1" customFormat="1">
      <c r="A881" s="28"/>
      <c r="B881" s="32" t="s">
        <v>23</v>
      </c>
      <c r="C881" s="24">
        <f t="shared" si="348"/>
        <v>0</v>
      </c>
      <c r="D881" s="30"/>
      <c r="E881" s="30"/>
      <c r="F881" s="30"/>
      <c r="G881" s="30"/>
      <c r="H881" s="31"/>
      <c r="I881" s="31"/>
      <c r="J881" s="31"/>
      <c r="K881" s="31"/>
      <c r="L881" s="24">
        <f t="shared" si="349"/>
        <v>0</v>
      </c>
      <c r="M881" s="30"/>
      <c r="N881" s="30"/>
      <c r="O881" s="30"/>
      <c r="P881" s="30"/>
    </row>
    <row r="882" spans="1:16" s="1" customFormat="1">
      <c r="A882" s="28"/>
      <c r="B882" s="29" t="s">
        <v>24</v>
      </c>
      <c r="C882" s="24">
        <f t="shared" si="348"/>
        <v>0</v>
      </c>
      <c r="D882" s="30"/>
      <c r="E882" s="30"/>
      <c r="F882" s="30"/>
      <c r="G882" s="30"/>
      <c r="H882" s="31"/>
      <c r="I882" s="31"/>
      <c r="J882" s="31"/>
      <c r="K882" s="31"/>
      <c r="L882" s="24">
        <f t="shared" si="349"/>
        <v>0</v>
      </c>
      <c r="M882" s="30"/>
      <c r="N882" s="30"/>
      <c r="O882" s="30"/>
      <c r="P882" s="30"/>
    </row>
    <row r="883" spans="1:16" s="1" customFormat="1">
      <c r="A883" s="28"/>
      <c r="B883" s="34" t="s">
        <v>25</v>
      </c>
      <c r="C883" s="24">
        <f t="shared" si="348"/>
        <v>0</v>
      </c>
      <c r="D883" s="30"/>
      <c r="E883" s="30"/>
      <c r="F883" s="30"/>
      <c r="G883" s="30"/>
      <c r="H883" s="31"/>
      <c r="I883" s="31"/>
      <c r="J883" s="31"/>
      <c r="K883" s="31"/>
      <c r="L883" s="24">
        <f t="shared" si="349"/>
        <v>0</v>
      </c>
      <c r="M883" s="30"/>
      <c r="N883" s="30"/>
      <c r="O883" s="30"/>
      <c r="P883" s="30"/>
    </row>
    <row r="884" spans="1:16" s="1" customFormat="1">
      <c r="A884" s="28"/>
      <c r="B884" s="32" t="s">
        <v>26</v>
      </c>
      <c r="C884" s="24">
        <f t="shared" si="348"/>
        <v>0</v>
      </c>
      <c r="D884" s="30"/>
      <c r="E884" s="30"/>
      <c r="F884" s="30"/>
      <c r="G884" s="30"/>
      <c r="H884" s="31"/>
      <c r="I884" s="31"/>
      <c r="J884" s="31"/>
      <c r="K884" s="31"/>
      <c r="L884" s="24">
        <f t="shared" si="349"/>
        <v>0</v>
      </c>
      <c r="M884" s="30"/>
      <c r="N884" s="30"/>
      <c r="O884" s="30"/>
      <c r="P884" s="30"/>
    </row>
    <row r="885" spans="1:16" s="1" customFormat="1" ht="30">
      <c r="A885" s="28"/>
      <c r="B885" s="35" t="s">
        <v>27</v>
      </c>
      <c r="C885" s="36">
        <f t="shared" ref="C885:G885" si="350">SUM(C886:C889)</f>
        <v>0</v>
      </c>
      <c r="D885" s="36">
        <f t="shared" si="350"/>
        <v>0</v>
      </c>
      <c r="E885" s="36">
        <f t="shared" si="350"/>
        <v>0</v>
      </c>
      <c r="F885" s="36">
        <f t="shared" si="350"/>
        <v>0</v>
      </c>
      <c r="G885" s="36">
        <f t="shared" si="350"/>
        <v>0</v>
      </c>
      <c r="H885" s="31"/>
      <c r="I885" s="31"/>
      <c r="J885" s="31"/>
      <c r="K885" s="31"/>
      <c r="L885" s="36">
        <f t="shared" ref="L885:P885" si="351">SUM(L886:L889)</f>
        <v>0</v>
      </c>
      <c r="M885" s="36">
        <f t="shared" si="351"/>
        <v>0</v>
      </c>
      <c r="N885" s="36">
        <f t="shared" si="351"/>
        <v>0</v>
      </c>
      <c r="O885" s="36">
        <f t="shared" si="351"/>
        <v>0</v>
      </c>
      <c r="P885" s="36">
        <f t="shared" si="351"/>
        <v>0</v>
      </c>
    </row>
    <row r="886" spans="1:16" s="1" customFormat="1">
      <c r="A886" s="28"/>
      <c r="B886" s="38" t="s">
        <v>28</v>
      </c>
      <c r="C886" s="24">
        <f t="shared" ref="C886:C896" si="352">E886+F886+G886</f>
        <v>0</v>
      </c>
      <c r="D886" s="30"/>
      <c r="E886" s="30"/>
      <c r="F886" s="30"/>
      <c r="G886" s="30"/>
      <c r="H886" s="31"/>
      <c r="I886" s="31"/>
      <c r="J886" s="31"/>
      <c r="K886" s="31"/>
      <c r="L886" s="24">
        <f t="shared" ref="L886:L896" si="353">N886+O886+P886</f>
        <v>0</v>
      </c>
      <c r="M886" s="30"/>
      <c r="N886" s="30"/>
      <c r="O886" s="30"/>
      <c r="P886" s="30"/>
    </row>
    <row r="887" spans="1:16" s="1" customFormat="1">
      <c r="A887" s="28"/>
      <c r="B887" s="38" t="s">
        <v>29</v>
      </c>
      <c r="C887" s="24">
        <f t="shared" si="352"/>
        <v>0</v>
      </c>
      <c r="D887" s="30"/>
      <c r="E887" s="30"/>
      <c r="F887" s="30"/>
      <c r="G887" s="30"/>
      <c r="H887" s="31"/>
      <c r="I887" s="31"/>
      <c r="J887" s="31"/>
      <c r="K887" s="31"/>
      <c r="L887" s="24">
        <f t="shared" si="353"/>
        <v>0</v>
      </c>
      <c r="M887" s="30"/>
      <c r="N887" s="30"/>
      <c r="O887" s="30"/>
      <c r="P887" s="30"/>
    </row>
    <row r="888" spans="1:16" s="1" customFormat="1">
      <c r="A888" s="28"/>
      <c r="B888" s="38" t="s">
        <v>30</v>
      </c>
      <c r="C888" s="24">
        <f t="shared" si="352"/>
        <v>0</v>
      </c>
      <c r="D888" s="30"/>
      <c r="E888" s="30"/>
      <c r="F888" s="30"/>
      <c r="G888" s="30"/>
      <c r="H888" s="31"/>
      <c r="I888" s="31"/>
      <c r="J888" s="31"/>
      <c r="K888" s="31"/>
      <c r="L888" s="24">
        <f t="shared" si="353"/>
        <v>0</v>
      </c>
      <c r="M888" s="30"/>
      <c r="N888" s="30"/>
      <c r="O888" s="30"/>
      <c r="P888" s="30"/>
    </row>
    <row r="889" spans="1:16" s="1" customFormat="1">
      <c r="A889" s="28"/>
      <c r="B889" s="38" t="s">
        <v>31</v>
      </c>
      <c r="C889" s="24">
        <f t="shared" si="352"/>
        <v>0</v>
      </c>
      <c r="D889" s="30"/>
      <c r="E889" s="30"/>
      <c r="F889" s="30"/>
      <c r="G889" s="30"/>
      <c r="H889" s="31"/>
      <c r="I889" s="31"/>
      <c r="J889" s="31"/>
      <c r="K889" s="31"/>
      <c r="L889" s="24">
        <f t="shared" si="353"/>
        <v>0</v>
      </c>
      <c r="M889" s="30"/>
      <c r="N889" s="30"/>
      <c r="O889" s="30"/>
      <c r="P889" s="30"/>
    </row>
    <row r="890" spans="1:16" s="1" customFormat="1" ht="30">
      <c r="A890" s="28"/>
      <c r="B890" s="39" t="s">
        <v>32</v>
      </c>
      <c r="C890" s="24">
        <f t="shared" si="352"/>
        <v>0</v>
      </c>
      <c r="D890" s="30"/>
      <c r="E890" s="30"/>
      <c r="F890" s="30"/>
      <c r="G890" s="30"/>
      <c r="H890" s="31"/>
      <c r="I890" s="31"/>
      <c r="J890" s="31"/>
      <c r="K890" s="31"/>
      <c r="L890" s="24">
        <f t="shared" si="353"/>
        <v>0</v>
      </c>
      <c r="M890" s="30"/>
      <c r="N890" s="30"/>
      <c r="O890" s="30"/>
      <c r="P890" s="30"/>
    </row>
    <row r="891" spans="1:16" s="1" customFormat="1" ht="30">
      <c r="A891" s="28"/>
      <c r="B891" s="39" t="s">
        <v>33</v>
      </c>
      <c r="C891" s="24">
        <f t="shared" si="352"/>
        <v>0</v>
      </c>
      <c r="D891" s="30"/>
      <c r="E891" s="30"/>
      <c r="F891" s="30"/>
      <c r="G891" s="30"/>
      <c r="H891" s="31"/>
      <c r="I891" s="31"/>
      <c r="J891" s="31"/>
      <c r="K891" s="31"/>
      <c r="L891" s="24">
        <f t="shared" si="353"/>
        <v>0</v>
      </c>
      <c r="M891" s="30"/>
      <c r="N891" s="30"/>
      <c r="O891" s="30"/>
      <c r="P891" s="30"/>
    </row>
    <row r="892" spans="1:16" s="1" customFormat="1" ht="30">
      <c r="A892" s="28"/>
      <c r="B892" s="40" t="s">
        <v>34</v>
      </c>
      <c r="C892" s="24">
        <f t="shared" si="352"/>
        <v>0</v>
      </c>
      <c r="D892" s="30"/>
      <c r="E892" s="30"/>
      <c r="F892" s="30"/>
      <c r="G892" s="30"/>
      <c r="H892" s="31"/>
      <c r="I892" s="31"/>
      <c r="J892" s="31"/>
      <c r="K892" s="31"/>
      <c r="L892" s="24">
        <f t="shared" si="353"/>
        <v>0</v>
      </c>
      <c r="M892" s="30"/>
      <c r="N892" s="30"/>
      <c r="O892" s="30"/>
      <c r="P892" s="30"/>
    </row>
    <row r="893" spans="1:16" s="1" customFormat="1">
      <c r="A893" s="28"/>
      <c r="B893" s="40" t="s">
        <v>35</v>
      </c>
      <c r="C893" s="24">
        <f t="shared" si="352"/>
        <v>0</v>
      </c>
      <c r="D893" s="30"/>
      <c r="E893" s="30"/>
      <c r="F893" s="30"/>
      <c r="G893" s="30"/>
      <c r="H893" s="31"/>
      <c r="I893" s="31"/>
      <c r="J893" s="31"/>
      <c r="K893" s="31"/>
      <c r="L893" s="24">
        <f t="shared" si="353"/>
        <v>0</v>
      </c>
      <c r="M893" s="30"/>
      <c r="N893" s="30"/>
      <c r="O893" s="30"/>
      <c r="P893" s="30"/>
    </row>
    <row r="894" spans="1:16" s="1" customFormat="1" ht="30">
      <c r="A894" s="28"/>
      <c r="B894" s="41" t="s">
        <v>36</v>
      </c>
      <c r="C894" s="24">
        <f t="shared" si="352"/>
        <v>0</v>
      </c>
      <c r="D894" s="30"/>
      <c r="E894" s="30"/>
      <c r="F894" s="30"/>
      <c r="G894" s="30"/>
      <c r="H894" s="31"/>
      <c r="I894" s="31"/>
      <c r="J894" s="31"/>
      <c r="K894" s="31"/>
      <c r="L894" s="24">
        <f t="shared" si="353"/>
        <v>0</v>
      </c>
      <c r="M894" s="30"/>
      <c r="N894" s="30"/>
      <c r="O894" s="30"/>
      <c r="P894" s="30"/>
    </row>
    <row r="895" spans="1:16" s="1" customFormat="1">
      <c r="A895" s="28"/>
      <c r="B895" s="42" t="s">
        <v>37</v>
      </c>
      <c r="C895" s="24">
        <f t="shared" si="352"/>
        <v>0</v>
      </c>
      <c r="D895" s="30"/>
      <c r="E895" s="30"/>
      <c r="F895" s="30"/>
      <c r="G895" s="30"/>
      <c r="H895" s="31"/>
      <c r="I895" s="31"/>
      <c r="J895" s="31"/>
      <c r="K895" s="31"/>
      <c r="L895" s="24">
        <f t="shared" si="353"/>
        <v>0</v>
      </c>
      <c r="M895" s="30"/>
      <c r="N895" s="30"/>
      <c r="O895" s="30"/>
      <c r="P895" s="30"/>
    </row>
    <row r="896" spans="1:16" s="1" customFormat="1" ht="30">
      <c r="A896" s="28"/>
      <c r="B896" s="42" t="s">
        <v>38</v>
      </c>
      <c r="C896" s="24">
        <f t="shared" si="352"/>
        <v>0</v>
      </c>
      <c r="D896" s="30"/>
      <c r="E896" s="30"/>
      <c r="F896" s="30"/>
      <c r="G896" s="30"/>
      <c r="H896" s="31"/>
      <c r="I896" s="31"/>
      <c r="J896" s="31"/>
      <c r="K896" s="31"/>
      <c r="L896" s="24">
        <f t="shared" si="353"/>
        <v>0</v>
      </c>
      <c r="M896" s="30"/>
      <c r="N896" s="30"/>
      <c r="O896" s="30"/>
      <c r="P896" s="30"/>
    </row>
    <row r="897" spans="1:16" s="1" customFormat="1" ht="30">
      <c r="A897" s="28"/>
      <c r="B897" s="43" t="s">
        <v>39</v>
      </c>
      <c r="C897" s="36">
        <f t="shared" ref="C897:G897" si="354">SUM(C898:C904)</f>
        <v>0</v>
      </c>
      <c r="D897" s="36">
        <f t="shared" si="354"/>
        <v>0</v>
      </c>
      <c r="E897" s="36">
        <f t="shared" si="354"/>
        <v>0</v>
      </c>
      <c r="F897" s="36">
        <f t="shared" si="354"/>
        <v>0</v>
      </c>
      <c r="G897" s="36">
        <f t="shared" si="354"/>
        <v>0</v>
      </c>
      <c r="H897" s="31"/>
      <c r="I897" s="31"/>
      <c r="J897" s="31"/>
      <c r="K897" s="31"/>
      <c r="L897" s="36">
        <f t="shared" ref="L897:P897" si="355">SUM(L898:L904)</f>
        <v>0</v>
      </c>
      <c r="M897" s="36">
        <f t="shared" si="355"/>
        <v>0</v>
      </c>
      <c r="N897" s="36">
        <f t="shared" si="355"/>
        <v>0</v>
      </c>
      <c r="O897" s="36">
        <f t="shared" si="355"/>
        <v>0</v>
      </c>
      <c r="P897" s="36">
        <f t="shared" si="355"/>
        <v>0</v>
      </c>
    </row>
    <row r="898" spans="1:16" s="1" customFormat="1" ht="30">
      <c r="A898" s="28" t="s">
        <v>40</v>
      </c>
      <c r="B898" s="39" t="s">
        <v>41</v>
      </c>
      <c r="C898" s="24">
        <f t="shared" ref="C898:C904" si="356">E898+F898+G898</f>
        <v>0</v>
      </c>
      <c r="D898" s="30"/>
      <c r="E898" s="30"/>
      <c r="F898" s="30"/>
      <c r="G898" s="30"/>
      <c r="H898" s="31"/>
      <c r="I898" s="31"/>
      <c r="J898" s="31"/>
      <c r="K898" s="31"/>
      <c r="L898" s="24">
        <f t="shared" ref="L898:L904" si="357">N898+O898+P898</f>
        <v>0</v>
      </c>
      <c r="M898" s="30"/>
      <c r="N898" s="30"/>
      <c r="O898" s="30"/>
      <c r="P898" s="30"/>
    </row>
    <row r="899" spans="1:16" s="1" customFormat="1">
      <c r="A899" s="28"/>
      <c r="B899" s="39" t="s">
        <v>42</v>
      </c>
      <c r="C899" s="24">
        <f t="shared" si="356"/>
        <v>0</v>
      </c>
      <c r="D899" s="30"/>
      <c r="E899" s="30"/>
      <c r="F899" s="30"/>
      <c r="G899" s="30"/>
      <c r="H899" s="31"/>
      <c r="I899" s="31"/>
      <c r="J899" s="31"/>
      <c r="K899" s="31"/>
      <c r="L899" s="24">
        <f t="shared" si="357"/>
        <v>0</v>
      </c>
      <c r="M899" s="30"/>
      <c r="N899" s="30"/>
      <c r="O899" s="30"/>
      <c r="P899" s="30"/>
    </row>
    <row r="900" spans="1:16" s="1" customFormat="1">
      <c r="A900" s="28"/>
      <c r="B900" s="39" t="s">
        <v>43</v>
      </c>
      <c r="C900" s="24">
        <f t="shared" si="356"/>
        <v>0</v>
      </c>
      <c r="D900" s="30"/>
      <c r="E900" s="30"/>
      <c r="F900" s="30"/>
      <c r="G900" s="30"/>
      <c r="H900" s="31"/>
      <c r="I900" s="31"/>
      <c r="J900" s="31"/>
      <c r="K900" s="31"/>
      <c r="L900" s="24">
        <f t="shared" si="357"/>
        <v>0</v>
      </c>
      <c r="M900" s="30"/>
      <c r="N900" s="30"/>
      <c r="O900" s="30"/>
      <c r="P900" s="30"/>
    </row>
    <row r="901" spans="1:16" s="1" customFormat="1">
      <c r="A901" s="28"/>
      <c r="B901" s="39" t="s">
        <v>77</v>
      </c>
      <c r="C901" s="24">
        <f t="shared" si="356"/>
        <v>0</v>
      </c>
      <c r="D901" s="30"/>
      <c r="E901" s="30"/>
      <c r="F901" s="30"/>
      <c r="G901" s="30"/>
      <c r="H901" s="31"/>
      <c r="I901" s="31"/>
      <c r="J901" s="31"/>
      <c r="K901" s="31"/>
      <c r="L901" s="24">
        <f t="shared" si="357"/>
        <v>0</v>
      </c>
      <c r="M901" s="30"/>
      <c r="N901" s="30"/>
      <c r="O901" s="30"/>
      <c r="P901" s="30"/>
    </row>
    <row r="902" spans="1:16" s="1" customFormat="1">
      <c r="A902" s="28"/>
      <c r="B902" s="39" t="s">
        <v>45</v>
      </c>
      <c r="C902" s="24">
        <f t="shared" si="356"/>
        <v>0</v>
      </c>
      <c r="D902" s="30"/>
      <c r="E902" s="30"/>
      <c r="F902" s="30"/>
      <c r="G902" s="30"/>
      <c r="H902" s="31"/>
      <c r="I902" s="31"/>
      <c r="J902" s="31"/>
      <c r="K902" s="31"/>
      <c r="L902" s="24">
        <f t="shared" si="357"/>
        <v>0</v>
      </c>
      <c r="M902" s="30"/>
      <c r="N902" s="30"/>
      <c r="O902" s="30"/>
      <c r="P902" s="30"/>
    </row>
    <row r="903" spans="1:16" s="1" customFormat="1" ht="30">
      <c r="A903" s="28"/>
      <c r="B903" s="39" t="s">
        <v>46</v>
      </c>
      <c r="C903" s="24">
        <f t="shared" si="356"/>
        <v>0</v>
      </c>
      <c r="D903" s="30"/>
      <c r="E903" s="30"/>
      <c r="F903" s="30"/>
      <c r="G903" s="30"/>
      <c r="H903" s="31"/>
      <c r="I903" s="31"/>
      <c r="J903" s="31"/>
      <c r="K903" s="31"/>
      <c r="L903" s="24">
        <f t="shared" si="357"/>
        <v>0</v>
      </c>
      <c r="M903" s="30"/>
      <c r="N903" s="30"/>
      <c r="O903" s="30"/>
      <c r="P903" s="30"/>
    </row>
    <row r="904" spans="1:16" s="1" customFormat="1">
      <c r="A904" s="28"/>
      <c r="B904" s="39" t="s">
        <v>47</v>
      </c>
      <c r="C904" s="24">
        <f t="shared" si="356"/>
        <v>0</v>
      </c>
      <c r="D904" s="30"/>
      <c r="E904" s="30"/>
      <c r="F904" s="30"/>
      <c r="G904" s="30"/>
      <c r="H904" s="31"/>
      <c r="I904" s="31"/>
      <c r="J904" s="31"/>
      <c r="K904" s="31"/>
      <c r="L904" s="24">
        <f t="shared" si="357"/>
        <v>0</v>
      </c>
      <c r="M904" s="30"/>
      <c r="N904" s="30"/>
      <c r="O904" s="30"/>
      <c r="P904" s="30"/>
    </row>
    <row r="905" spans="1:16" s="1" customFormat="1" ht="36.75" customHeight="1">
      <c r="A905" s="211" t="s">
        <v>3</v>
      </c>
      <c r="B905" s="213" t="s">
        <v>4</v>
      </c>
      <c r="C905" s="213" t="s">
        <v>5</v>
      </c>
      <c r="D905" s="10" t="s">
        <v>6</v>
      </c>
      <c r="E905" s="215" t="s">
        <v>7</v>
      </c>
      <c r="F905" s="216"/>
      <c r="G905" s="217"/>
      <c r="H905" s="218" t="s">
        <v>8</v>
      </c>
      <c r="I905" s="218"/>
      <c r="J905" s="218"/>
      <c r="K905" s="11"/>
      <c r="L905" s="219" t="s">
        <v>9</v>
      </c>
      <c r="M905" s="12" t="s">
        <v>6</v>
      </c>
      <c r="N905" s="208" t="s">
        <v>10</v>
      </c>
      <c r="O905" s="209"/>
      <c r="P905" s="210"/>
    </row>
    <row r="906" spans="1:16" s="1" customFormat="1" ht="47.25" customHeight="1">
      <c r="A906" s="212"/>
      <c r="B906" s="214"/>
      <c r="C906" s="214"/>
      <c r="D906" s="13" t="s">
        <v>11</v>
      </c>
      <c r="E906" s="13" t="s">
        <v>12</v>
      </c>
      <c r="F906" s="13" t="s">
        <v>13</v>
      </c>
      <c r="G906" s="13" t="s">
        <v>14</v>
      </c>
      <c r="H906" s="14" t="s">
        <v>15</v>
      </c>
      <c r="I906" s="14" t="s">
        <v>16</v>
      </c>
      <c r="J906" s="14" t="s">
        <v>17</v>
      </c>
      <c r="K906" s="14" t="s">
        <v>18</v>
      </c>
      <c r="L906" s="220"/>
      <c r="M906" s="15" t="s">
        <v>11</v>
      </c>
      <c r="N906" s="15" t="s">
        <v>12</v>
      </c>
      <c r="O906" s="15" t="s">
        <v>13</v>
      </c>
      <c r="P906" s="15" t="s">
        <v>14</v>
      </c>
    </row>
    <row r="907" spans="1:16" s="1" customFormat="1">
      <c r="A907" s="80">
        <v>9</v>
      </c>
      <c r="B907" s="17" t="s">
        <v>78</v>
      </c>
      <c r="C907" s="81">
        <f t="shared" ref="C907:G907" si="358">C908+C909+C910+C911+C912+C913+C914+C915+C920+C921+C922+C923+C924+C925+C926+C927</f>
        <v>67052.2</v>
      </c>
      <c r="D907" s="81">
        <f t="shared" si="358"/>
        <v>405858.31</v>
      </c>
      <c r="E907" s="81">
        <f t="shared" si="358"/>
        <v>33564.800000000003</v>
      </c>
      <c r="F907" s="81">
        <f t="shared" si="358"/>
        <v>0</v>
      </c>
      <c r="G907" s="81">
        <f t="shared" si="358"/>
        <v>33487.4</v>
      </c>
      <c r="H907" s="82"/>
      <c r="I907" s="83"/>
      <c r="J907" s="83"/>
      <c r="K907" s="84"/>
      <c r="L907" s="81">
        <f t="shared" ref="L907:P907" si="359">L908+L909+L910+L911+L912+L913+L914+L915+L920+L921+L922+L923+L924+L925+L926+L927</f>
        <v>0</v>
      </c>
      <c r="M907" s="81">
        <f t="shared" si="359"/>
        <v>405858.31</v>
      </c>
      <c r="N907" s="81">
        <f t="shared" si="359"/>
        <v>0</v>
      </c>
      <c r="O907" s="81">
        <f t="shared" si="359"/>
        <v>0</v>
      </c>
      <c r="P907" s="81">
        <f t="shared" si="359"/>
        <v>0</v>
      </c>
    </row>
    <row r="908" spans="1:16" s="1" customFormat="1">
      <c r="A908" s="22"/>
      <c r="B908" s="23" t="s">
        <v>20</v>
      </c>
      <c r="C908" s="24">
        <f t="shared" ref="C908:C914" si="360">E908+F908+G908</f>
        <v>33487.4</v>
      </c>
      <c r="D908" s="25"/>
      <c r="E908" s="25"/>
      <c r="F908" s="88"/>
      <c r="G908" s="25">
        <v>33487.4</v>
      </c>
      <c r="H908" s="26"/>
      <c r="I908" s="24"/>
      <c r="J908" s="24"/>
      <c r="K908" s="27"/>
      <c r="L908" s="24">
        <f t="shared" ref="L908:L914" si="361">N908+O908+P908</f>
        <v>0</v>
      </c>
      <c r="M908" s="25"/>
      <c r="N908" s="25"/>
      <c r="O908" s="88"/>
      <c r="P908" s="25"/>
    </row>
    <row r="909" spans="1:16" s="1" customFormat="1">
      <c r="A909" s="28"/>
      <c r="B909" s="29" t="s">
        <v>21</v>
      </c>
      <c r="C909" s="24">
        <f t="shared" si="360"/>
        <v>2261</v>
      </c>
      <c r="D909" s="30"/>
      <c r="E909" s="30">
        <f>1936+325</f>
        <v>2261</v>
      </c>
      <c r="F909" s="87"/>
      <c r="G909" s="30"/>
      <c r="H909" s="31"/>
      <c r="I909" s="31"/>
      <c r="J909" s="31"/>
      <c r="K909" s="31"/>
      <c r="L909" s="24">
        <f t="shared" si="361"/>
        <v>0</v>
      </c>
      <c r="M909" s="30"/>
      <c r="N909" s="30"/>
      <c r="O909" s="87"/>
      <c r="P909" s="30"/>
    </row>
    <row r="910" spans="1:16" s="1" customFormat="1">
      <c r="A910" s="28"/>
      <c r="B910" s="32" t="s">
        <v>22</v>
      </c>
      <c r="C910" s="24">
        <f t="shared" si="360"/>
        <v>0</v>
      </c>
      <c r="D910" s="30"/>
      <c r="E910" s="30"/>
      <c r="F910" s="87"/>
      <c r="G910" s="30"/>
      <c r="H910" s="31"/>
      <c r="I910" s="31"/>
      <c r="J910" s="31"/>
      <c r="K910" s="31"/>
      <c r="L910" s="24">
        <f t="shared" si="361"/>
        <v>0</v>
      </c>
      <c r="M910" s="30"/>
      <c r="N910" s="30"/>
      <c r="O910" s="87"/>
      <c r="P910" s="30"/>
    </row>
    <row r="911" spans="1:16" s="1" customFormat="1">
      <c r="A911" s="28"/>
      <c r="B911" s="32" t="s">
        <v>23</v>
      </c>
      <c r="C911" s="24">
        <f t="shared" si="360"/>
        <v>0</v>
      </c>
      <c r="D911" s="30"/>
      <c r="E911" s="30"/>
      <c r="F911" s="87"/>
      <c r="G911" s="30"/>
      <c r="H911" s="31"/>
      <c r="I911" s="31"/>
      <c r="J911" s="31"/>
      <c r="K911" s="31"/>
      <c r="L911" s="24">
        <f t="shared" si="361"/>
        <v>0</v>
      </c>
      <c r="M911" s="30"/>
      <c r="N911" s="30"/>
      <c r="O911" s="87"/>
      <c r="P911" s="30"/>
    </row>
    <row r="912" spans="1:16" s="1" customFormat="1">
      <c r="A912" s="28"/>
      <c r="B912" s="29" t="s">
        <v>24</v>
      </c>
      <c r="C912" s="24">
        <f t="shared" si="360"/>
        <v>30473.99</v>
      </c>
      <c r="D912" s="30">
        <v>16062</v>
      </c>
      <c r="E912" s="30">
        <v>30473.99</v>
      </c>
      <c r="F912" s="87"/>
      <c r="G912" s="30"/>
      <c r="H912" s="31"/>
      <c r="I912" s="31"/>
      <c r="J912" s="31"/>
      <c r="K912" s="31"/>
      <c r="L912" s="24">
        <f t="shared" si="361"/>
        <v>0</v>
      </c>
      <c r="M912" s="30">
        <v>16062</v>
      </c>
      <c r="N912" s="30"/>
      <c r="O912" s="87"/>
      <c r="P912" s="30"/>
    </row>
    <row r="913" spans="1:16" s="1" customFormat="1">
      <c r="A913" s="28"/>
      <c r="B913" s="34" t="s">
        <v>25</v>
      </c>
      <c r="C913" s="24">
        <f t="shared" si="360"/>
        <v>829.81</v>
      </c>
      <c r="D913" s="30">
        <v>4709.8500000000004</v>
      </c>
      <c r="E913" s="30">
        <v>829.81</v>
      </c>
      <c r="F913" s="87"/>
      <c r="G913" s="30"/>
      <c r="H913" s="31"/>
      <c r="I913" s="31"/>
      <c r="J913" s="31"/>
      <c r="K913" s="31"/>
      <c r="L913" s="24">
        <f t="shared" si="361"/>
        <v>0</v>
      </c>
      <c r="M913" s="30">
        <v>4709.8500000000004</v>
      </c>
      <c r="N913" s="30"/>
      <c r="O913" s="87"/>
      <c r="P913" s="30"/>
    </row>
    <row r="914" spans="1:16" s="1" customFormat="1">
      <c r="A914" s="28"/>
      <c r="B914" s="32" t="s">
        <v>26</v>
      </c>
      <c r="C914" s="24">
        <f t="shared" si="360"/>
        <v>0</v>
      </c>
      <c r="D914" s="30"/>
      <c r="E914" s="30"/>
      <c r="F914" s="30"/>
      <c r="G914" s="30"/>
      <c r="H914" s="31"/>
      <c r="I914" s="31"/>
      <c r="J914" s="31"/>
      <c r="K914" s="31"/>
      <c r="L914" s="24">
        <f t="shared" si="361"/>
        <v>0</v>
      </c>
      <c r="M914" s="30"/>
      <c r="N914" s="30"/>
      <c r="O914" s="30"/>
      <c r="P914" s="30"/>
    </row>
    <row r="915" spans="1:16" s="1" customFormat="1" ht="30">
      <c r="A915" s="28"/>
      <c r="B915" s="35" t="s">
        <v>27</v>
      </c>
      <c r="C915" s="36">
        <f t="shared" ref="C915:G915" si="362">SUM(C916:C919)</f>
        <v>0</v>
      </c>
      <c r="D915" s="36">
        <f t="shared" si="362"/>
        <v>308041.78000000003</v>
      </c>
      <c r="E915" s="36">
        <f t="shared" si="362"/>
        <v>0</v>
      </c>
      <c r="F915" s="36">
        <f t="shared" si="362"/>
        <v>0</v>
      </c>
      <c r="G915" s="36">
        <f t="shared" si="362"/>
        <v>0</v>
      </c>
      <c r="H915" s="31"/>
      <c r="I915" s="31"/>
      <c r="J915" s="31"/>
      <c r="K915" s="31"/>
      <c r="L915" s="36">
        <f t="shared" ref="L915:P915" si="363">SUM(L916:L919)</f>
        <v>0</v>
      </c>
      <c r="M915" s="36">
        <f t="shared" si="363"/>
        <v>308041.78000000003</v>
      </c>
      <c r="N915" s="36">
        <f t="shared" si="363"/>
        <v>0</v>
      </c>
      <c r="O915" s="36">
        <f t="shared" si="363"/>
        <v>0</v>
      </c>
      <c r="P915" s="36">
        <f t="shared" si="363"/>
        <v>0</v>
      </c>
    </row>
    <row r="916" spans="1:16" s="1" customFormat="1">
      <c r="A916" s="28"/>
      <c r="B916" s="38" t="s">
        <v>28</v>
      </c>
      <c r="C916" s="24">
        <f t="shared" ref="C916:C926" si="364">E916+F916+G916</f>
        <v>0</v>
      </c>
      <c r="D916" s="87">
        <v>88804.1</v>
      </c>
      <c r="E916" s="30"/>
      <c r="F916" s="30"/>
      <c r="G916" s="30"/>
      <c r="H916" s="31"/>
      <c r="I916" s="31"/>
      <c r="J916" s="31"/>
      <c r="K916" s="31"/>
      <c r="L916" s="24">
        <f t="shared" ref="L916:L926" si="365">N916+O916+P916</f>
        <v>0</v>
      </c>
      <c r="M916" s="87">
        <v>88804.1</v>
      </c>
      <c r="N916" s="30"/>
      <c r="O916" s="30"/>
      <c r="P916" s="30"/>
    </row>
    <row r="917" spans="1:16" s="1" customFormat="1">
      <c r="A917" s="28"/>
      <c r="B917" s="38" t="s">
        <v>29</v>
      </c>
      <c r="C917" s="24">
        <f t="shared" si="364"/>
        <v>0</v>
      </c>
      <c r="D917" s="87">
        <v>63828.6</v>
      </c>
      <c r="E917" s="30"/>
      <c r="F917" s="30"/>
      <c r="G917" s="30"/>
      <c r="H917" s="31"/>
      <c r="I917" s="31"/>
      <c r="J917" s="31"/>
      <c r="K917" s="31"/>
      <c r="L917" s="24">
        <f t="shared" si="365"/>
        <v>0</v>
      </c>
      <c r="M917" s="87">
        <v>63828.6</v>
      </c>
      <c r="N917" s="30"/>
      <c r="O917" s="30"/>
      <c r="P917" s="30"/>
    </row>
    <row r="918" spans="1:16" s="1" customFormat="1">
      <c r="A918" s="28"/>
      <c r="B918" s="38" t="s">
        <v>30</v>
      </c>
      <c r="C918" s="24">
        <f t="shared" si="364"/>
        <v>0</v>
      </c>
      <c r="D918" s="87">
        <v>63063.9</v>
      </c>
      <c r="E918" s="30"/>
      <c r="F918" s="30"/>
      <c r="G918" s="30"/>
      <c r="H918" s="31"/>
      <c r="I918" s="31"/>
      <c r="J918" s="31"/>
      <c r="K918" s="31"/>
      <c r="L918" s="24">
        <f t="shared" si="365"/>
        <v>0</v>
      </c>
      <c r="M918" s="87">
        <v>63063.9</v>
      </c>
      <c r="N918" s="30"/>
      <c r="O918" s="30"/>
      <c r="P918" s="30"/>
    </row>
    <row r="919" spans="1:16" s="1" customFormat="1">
      <c r="A919" s="28"/>
      <c r="B919" s="38" t="s">
        <v>31</v>
      </c>
      <c r="C919" s="24">
        <f t="shared" si="364"/>
        <v>0</v>
      </c>
      <c r="D919" s="87">
        <v>92345.18</v>
      </c>
      <c r="E919" s="30"/>
      <c r="F919" s="30"/>
      <c r="G919" s="30"/>
      <c r="H919" s="31"/>
      <c r="I919" s="31"/>
      <c r="J919" s="31"/>
      <c r="K919" s="31"/>
      <c r="L919" s="24">
        <f t="shared" si="365"/>
        <v>0</v>
      </c>
      <c r="M919" s="87">
        <v>92345.18</v>
      </c>
      <c r="N919" s="30"/>
      <c r="O919" s="30"/>
      <c r="P919" s="30"/>
    </row>
    <row r="920" spans="1:16" s="1" customFormat="1" ht="30">
      <c r="A920" s="28"/>
      <c r="B920" s="39" t="s">
        <v>32</v>
      </c>
      <c r="C920" s="24">
        <f t="shared" si="364"/>
        <v>0</v>
      </c>
      <c r="D920" s="87"/>
      <c r="E920" s="30"/>
      <c r="F920" s="30"/>
      <c r="G920" s="30"/>
      <c r="H920" s="31"/>
      <c r="I920" s="31"/>
      <c r="J920" s="31"/>
      <c r="K920" s="31"/>
      <c r="L920" s="24">
        <f t="shared" si="365"/>
        <v>0</v>
      </c>
      <c r="M920" s="87"/>
      <c r="N920" s="30"/>
      <c r="O920" s="30"/>
      <c r="P920" s="30"/>
    </row>
    <row r="921" spans="1:16" s="1" customFormat="1" ht="30">
      <c r="A921" s="28"/>
      <c r="B921" s="39" t="s">
        <v>33</v>
      </c>
      <c r="C921" s="24">
        <f t="shared" si="364"/>
        <v>0</v>
      </c>
      <c r="D921" s="87">
        <v>2616.1</v>
      </c>
      <c r="E921" s="30"/>
      <c r="F921" s="30"/>
      <c r="G921" s="30"/>
      <c r="H921" s="31"/>
      <c r="I921" s="31"/>
      <c r="J921" s="31"/>
      <c r="K921" s="31"/>
      <c r="L921" s="24">
        <f t="shared" si="365"/>
        <v>0</v>
      </c>
      <c r="M921" s="87">
        <v>2616.1</v>
      </c>
      <c r="N921" s="30"/>
      <c r="O921" s="30"/>
      <c r="P921" s="30"/>
    </row>
    <row r="922" spans="1:16" s="1" customFormat="1" ht="30">
      <c r="A922" s="28"/>
      <c r="B922" s="40" t="s">
        <v>34</v>
      </c>
      <c r="C922" s="24">
        <f t="shared" si="364"/>
        <v>0</v>
      </c>
      <c r="D922" s="87"/>
      <c r="E922" s="30"/>
      <c r="F922" s="30"/>
      <c r="G922" s="30"/>
      <c r="H922" s="31"/>
      <c r="I922" s="31"/>
      <c r="J922" s="31"/>
      <c r="K922" s="31"/>
      <c r="L922" s="24">
        <f t="shared" si="365"/>
        <v>0</v>
      </c>
      <c r="M922" s="87"/>
      <c r="N922" s="30"/>
      <c r="O922" s="30"/>
      <c r="P922" s="30"/>
    </row>
    <row r="923" spans="1:16" s="1" customFormat="1">
      <c r="A923" s="28"/>
      <c r="B923" s="40" t="s">
        <v>35</v>
      </c>
      <c r="C923" s="24">
        <f t="shared" si="364"/>
        <v>0</v>
      </c>
      <c r="D923" s="87">
        <v>14800</v>
      </c>
      <c r="E923" s="30"/>
      <c r="F923" s="30"/>
      <c r="G923" s="30"/>
      <c r="H923" s="31"/>
      <c r="I923" s="31"/>
      <c r="J923" s="31"/>
      <c r="K923" s="31"/>
      <c r="L923" s="24">
        <f t="shared" si="365"/>
        <v>0</v>
      </c>
      <c r="M923" s="87">
        <v>14800</v>
      </c>
      <c r="N923" s="30"/>
      <c r="O923" s="30"/>
      <c r="P923" s="30"/>
    </row>
    <row r="924" spans="1:16" s="1" customFormat="1" ht="30">
      <c r="A924" s="28"/>
      <c r="B924" s="41" t="s">
        <v>36</v>
      </c>
      <c r="C924" s="24">
        <f t="shared" si="364"/>
        <v>0</v>
      </c>
      <c r="D924" s="87"/>
      <c r="E924" s="30"/>
      <c r="F924" s="30"/>
      <c r="G924" s="30"/>
      <c r="H924" s="31"/>
      <c r="I924" s="31"/>
      <c r="J924" s="31"/>
      <c r="K924" s="31"/>
      <c r="L924" s="24">
        <f t="shared" si="365"/>
        <v>0</v>
      </c>
      <c r="M924" s="87"/>
      <c r="N924" s="30"/>
      <c r="O924" s="30"/>
      <c r="P924" s="30"/>
    </row>
    <row r="925" spans="1:16" s="1" customFormat="1">
      <c r="A925" s="28"/>
      <c r="B925" s="42" t="s">
        <v>37</v>
      </c>
      <c r="C925" s="24">
        <f t="shared" si="364"/>
        <v>0</v>
      </c>
      <c r="D925" s="87"/>
      <c r="E925" s="30"/>
      <c r="F925" s="30"/>
      <c r="G925" s="30"/>
      <c r="H925" s="31"/>
      <c r="I925" s="31"/>
      <c r="J925" s="31"/>
      <c r="K925" s="31"/>
      <c r="L925" s="24">
        <f t="shared" si="365"/>
        <v>0</v>
      </c>
      <c r="M925" s="87"/>
      <c r="N925" s="30"/>
      <c r="O925" s="30"/>
      <c r="P925" s="30"/>
    </row>
    <row r="926" spans="1:16" s="1" customFormat="1" ht="30">
      <c r="A926" s="28"/>
      <c r="B926" s="42" t="s">
        <v>38</v>
      </c>
      <c r="C926" s="24">
        <f t="shared" si="364"/>
        <v>0</v>
      </c>
      <c r="D926" s="87">
        <v>19360</v>
      </c>
      <c r="E926" s="30"/>
      <c r="F926" s="30"/>
      <c r="G926" s="30"/>
      <c r="H926" s="31"/>
      <c r="I926" s="31"/>
      <c r="J926" s="31"/>
      <c r="K926" s="31"/>
      <c r="L926" s="24">
        <f t="shared" si="365"/>
        <v>0</v>
      </c>
      <c r="M926" s="87">
        <v>19360</v>
      </c>
      <c r="N926" s="30"/>
      <c r="O926" s="30"/>
      <c r="P926" s="30"/>
    </row>
    <row r="927" spans="1:16" s="1" customFormat="1" ht="30">
      <c r="A927" s="28"/>
      <c r="B927" s="43" t="s">
        <v>39</v>
      </c>
      <c r="C927" s="36">
        <f t="shared" ref="C927:G927" si="366">SUM(C928:C934)</f>
        <v>0</v>
      </c>
      <c r="D927" s="36">
        <f t="shared" si="366"/>
        <v>40268.58</v>
      </c>
      <c r="E927" s="36">
        <f t="shared" si="366"/>
        <v>0</v>
      </c>
      <c r="F927" s="36">
        <f t="shared" si="366"/>
        <v>0</v>
      </c>
      <c r="G927" s="36">
        <f t="shared" si="366"/>
        <v>0</v>
      </c>
      <c r="H927" s="31"/>
      <c r="I927" s="31"/>
      <c r="J927" s="31"/>
      <c r="K927" s="31"/>
      <c r="L927" s="36">
        <f t="shared" ref="L927:P927" si="367">SUM(L928:L934)</f>
        <v>0</v>
      </c>
      <c r="M927" s="36">
        <f t="shared" si="367"/>
        <v>40268.58</v>
      </c>
      <c r="N927" s="36">
        <f t="shared" si="367"/>
        <v>0</v>
      </c>
      <c r="O927" s="36">
        <f t="shared" si="367"/>
        <v>0</v>
      </c>
      <c r="P927" s="36">
        <f t="shared" si="367"/>
        <v>0</v>
      </c>
    </row>
    <row r="928" spans="1:16" s="1" customFormat="1" ht="30">
      <c r="A928" s="28" t="s">
        <v>40</v>
      </c>
      <c r="B928" s="39" t="s">
        <v>41</v>
      </c>
      <c r="C928" s="24">
        <f t="shared" ref="C928:C934" si="368">E928+F928+G928</f>
        <v>0</v>
      </c>
      <c r="D928" s="30"/>
      <c r="E928" s="30"/>
      <c r="F928" s="30"/>
      <c r="G928" s="30"/>
      <c r="H928" s="31"/>
      <c r="I928" s="31"/>
      <c r="J928" s="31"/>
      <c r="K928" s="31"/>
      <c r="L928" s="24">
        <f t="shared" ref="L928:L934" si="369">N928+O928+P928</f>
        <v>0</v>
      </c>
      <c r="M928" s="30"/>
      <c r="N928" s="30"/>
      <c r="O928" s="30"/>
      <c r="P928" s="30"/>
    </row>
    <row r="929" spans="1:16" s="1" customFormat="1">
      <c r="A929" s="28"/>
      <c r="B929" s="39" t="s">
        <v>42</v>
      </c>
      <c r="C929" s="24">
        <f t="shared" si="368"/>
        <v>0</v>
      </c>
      <c r="D929" s="30"/>
      <c r="E929" s="30"/>
      <c r="F929" s="30"/>
      <c r="G929" s="30"/>
      <c r="H929" s="31"/>
      <c r="I929" s="31"/>
      <c r="J929" s="31"/>
      <c r="K929" s="31"/>
      <c r="L929" s="24">
        <f t="shared" si="369"/>
        <v>0</v>
      </c>
      <c r="M929" s="30"/>
      <c r="N929" s="30"/>
      <c r="O929" s="30"/>
      <c r="P929" s="30"/>
    </row>
    <row r="930" spans="1:16" s="1" customFormat="1">
      <c r="A930" s="28"/>
      <c r="B930" s="39" t="s">
        <v>43</v>
      </c>
      <c r="C930" s="24">
        <f t="shared" si="368"/>
        <v>0</v>
      </c>
      <c r="D930" s="30"/>
      <c r="E930" s="30"/>
      <c r="F930" s="30"/>
      <c r="G930" s="30"/>
      <c r="H930" s="31"/>
      <c r="I930" s="31"/>
      <c r="J930" s="31"/>
      <c r="K930" s="31"/>
      <c r="L930" s="24">
        <f t="shared" si="369"/>
        <v>0</v>
      </c>
      <c r="M930" s="30"/>
      <c r="N930" s="30"/>
      <c r="O930" s="30"/>
      <c r="P930" s="30"/>
    </row>
    <row r="931" spans="1:16" s="1" customFormat="1">
      <c r="A931" s="28"/>
      <c r="B931" s="39" t="s">
        <v>44</v>
      </c>
      <c r="C931" s="24">
        <f t="shared" si="368"/>
        <v>0</v>
      </c>
      <c r="D931" s="30"/>
      <c r="E931" s="30"/>
      <c r="F931" s="30"/>
      <c r="G931" s="30"/>
      <c r="H931" s="31"/>
      <c r="I931" s="31"/>
      <c r="J931" s="31"/>
      <c r="K931" s="31"/>
      <c r="L931" s="24">
        <f t="shared" si="369"/>
        <v>0</v>
      </c>
      <c r="M931" s="30"/>
      <c r="N931" s="30"/>
      <c r="O931" s="30"/>
      <c r="P931" s="30"/>
    </row>
    <row r="932" spans="1:16" s="1" customFormat="1">
      <c r="A932" s="28"/>
      <c r="B932" s="39" t="s">
        <v>45</v>
      </c>
      <c r="C932" s="24">
        <f t="shared" si="368"/>
        <v>0</v>
      </c>
      <c r="D932" s="30"/>
      <c r="E932" s="30"/>
      <c r="F932" s="30"/>
      <c r="G932" s="30"/>
      <c r="H932" s="31"/>
      <c r="I932" s="31"/>
      <c r="J932" s="31"/>
      <c r="K932" s="31"/>
      <c r="L932" s="24">
        <f t="shared" si="369"/>
        <v>0</v>
      </c>
      <c r="M932" s="30"/>
      <c r="N932" s="30"/>
      <c r="O932" s="30"/>
      <c r="P932" s="30"/>
    </row>
    <row r="933" spans="1:16" s="1" customFormat="1" ht="30">
      <c r="A933" s="28"/>
      <c r="B933" s="39" t="s">
        <v>46</v>
      </c>
      <c r="C933" s="24">
        <f t="shared" si="368"/>
        <v>0</v>
      </c>
      <c r="D933" s="30"/>
      <c r="E933" s="30"/>
      <c r="F933" s="30"/>
      <c r="G933" s="30"/>
      <c r="H933" s="31"/>
      <c r="I933" s="31"/>
      <c r="J933" s="31"/>
      <c r="K933" s="31"/>
      <c r="L933" s="24">
        <f t="shared" si="369"/>
        <v>0</v>
      </c>
      <c r="M933" s="30"/>
      <c r="N933" s="30"/>
      <c r="O933" s="30"/>
      <c r="P933" s="30"/>
    </row>
    <row r="934" spans="1:16" s="1" customFormat="1">
      <c r="A934" s="28"/>
      <c r="B934" s="39" t="s">
        <v>47</v>
      </c>
      <c r="C934" s="24">
        <f t="shared" si="368"/>
        <v>0</v>
      </c>
      <c r="D934" s="30">
        <v>40268.58</v>
      </c>
      <c r="E934" s="30"/>
      <c r="F934" s="30"/>
      <c r="G934" s="30"/>
      <c r="H934" s="31"/>
      <c r="I934" s="31"/>
      <c r="J934" s="31"/>
      <c r="K934" s="31"/>
      <c r="L934" s="24">
        <f t="shared" si="369"/>
        <v>0</v>
      </c>
      <c r="M934" s="30">
        <v>40268.58</v>
      </c>
      <c r="N934" s="30"/>
      <c r="O934" s="30"/>
      <c r="P934" s="30"/>
    </row>
    <row r="935" spans="1:16" s="1" customFormat="1" ht="36.75" customHeight="1">
      <c r="A935" s="211" t="s">
        <v>3</v>
      </c>
      <c r="B935" s="213" t="s">
        <v>4</v>
      </c>
      <c r="C935" s="213" t="s">
        <v>5</v>
      </c>
      <c r="D935" s="10" t="s">
        <v>6</v>
      </c>
      <c r="E935" s="215" t="s">
        <v>7</v>
      </c>
      <c r="F935" s="216"/>
      <c r="G935" s="217"/>
      <c r="H935" s="218" t="s">
        <v>8</v>
      </c>
      <c r="I935" s="218"/>
      <c r="J935" s="218"/>
      <c r="K935" s="11"/>
      <c r="L935" s="219" t="s">
        <v>9</v>
      </c>
      <c r="M935" s="12" t="s">
        <v>6</v>
      </c>
      <c r="N935" s="208" t="s">
        <v>10</v>
      </c>
      <c r="O935" s="209"/>
      <c r="P935" s="210"/>
    </row>
    <row r="936" spans="1:16" s="1" customFormat="1" ht="47.25" customHeight="1">
      <c r="A936" s="212"/>
      <c r="B936" s="214"/>
      <c r="C936" s="214"/>
      <c r="D936" s="13" t="s">
        <v>11</v>
      </c>
      <c r="E936" s="13" t="s">
        <v>12</v>
      </c>
      <c r="F936" s="13" t="s">
        <v>13</v>
      </c>
      <c r="G936" s="13" t="s">
        <v>14</v>
      </c>
      <c r="H936" s="14" t="s">
        <v>15</v>
      </c>
      <c r="I936" s="14" t="s">
        <v>16</v>
      </c>
      <c r="J936" s="14" t="s">
        <v>17</v>
      </c>
      <c r="K936" s="14" t="s">
        <v>18</v>
      </c>
      <c r="L936" s="220"/>
      <c r="M936" s="15" t="s">
        <v>11</v>
      </c>
      <c r="N936" s="15" t="s">
        <v>12</v>
      </c>
      <c r="O936" s="15" t="s">
        <v>13</v>
      </c>
      <c r="P936" s="15" t="s">
        <v>14</v>
      </c>
    </row>
    <row r="937" spans="1:16" s="1" customFormat="1">
      <c r="A937" s="80">
        <v>10</v>
      </c>
      <c r="B937" s="17" t="s">
        <v>79</v>
      </c>
      <c r="C937" s="81">
        <f t="shared" ref="C937:G937" si="370">C938+C939+C940+C941+C942+C943+C944+C945+C950+C951+C952+C953+C954+C955+C956+C957</f>
        <v>239688.64</v>
      </c>
      <c r="D937" s="81">
        <f t="shared" si="370"/>
        <v>1632370.3099999998</v>
      </c>
      <c r="E937" s="81">
        <f t="shared" si="370"/>
        <v>239688.62</v>
      </c>
      <c r="F937" s="81">
        <f t="shared" si="370"/>
        <v>0</v>
      </c>
      <c r="G937" s="81">
        <f t="shared" si="370"/>
        <v>0.02</v>
      </c>
      <c r="H937" s="82"/>
      <c r="I937" s="83"/>
      <c r="J937" s="83"/>
      <c r="K937" s="84"/>
      <c r="L937" s="81">
        <f t="shared" ref="L937:P937" si="371">L938+L939+L940+L941+L942+L943+L944+L945+L950+L951+L952+L953+L954+L955+L956+L957</f>
        <v>0.01</v>
      </c>
      <c r="M937" s="81">
        <f t="shared" si="371"/>
        <v>1632370.3099999998</v>
      </c>
      <c r="N937" s="81">
        <f t="shared" si="371"/>
        <v>0</v>
      </c>
      <c r="O937" s="81">
        <f t="shared" si="371"/>
        <v>0</v>
      </c>
      <c r="P937" s="81">
        <f t="shared" si="371"/>
        <v>0.01</v>
      </c>
    </row>
    <row r="938" spans="1:16" s="5" customFormat="1">
      <c r="A938" s="22"/>
      <c r="B938" s="23" t="s">
        <v>20</v>
      </c>
      <c r="C938" s="24">
        <f t="shared" ref="C938:C944" si="372">E938+F938+G938</f>
        <v>0.01</v>
      </c>
      <c r="D938" s="25"/>
      <c r="E938" s="25"/>
      <c r="F938" s="25"/>
      <c r="G938" s="25">
        <v>0.01</v>
      </c>
      <c r="H938" s="26"/>
      <c r="I938" s="24"/>
      <c r="J938" s="24"/>
      <c r="K938" s="27"/>
      <c r="L938" s="24">
        <f t="shared" ref="L938:L944" si="373">N938+O938+P938</f>
        <v>0.01</v>
      </c>
      <c r="M938" s="25"/>
      <c r="N938" s="25"/>
      <c r="O938" s="25"/>
      <c r="P938" s="25">
        <v>0.01</v>
      </c>
    </row>
    <row r="939" spans="1:16" s="1" customFormat="1">
      <c r="A939" s="28"/>
      <c r="B939" s="29" t="s">
        <v>21</v>
      </c>
      <c r="C939" s="24">
        <f t="shared" si="372"/>
        <v>141503.53</v>
      </c>
      <c r="D939" s="30">
        <v>584.03</v>
      </c>
      <c r="E939" s="30">
        <f>141503.53</f>
        <v>141503.53</v>
      </c>
      <c r="F939" s="30"/>
      <c r="G939" s="30"/>
      <c r="H939" s="31"/>
      <c r="I939" s="31"/>
      <c r="J939" s="31"/>
      <c r="K939" s="31"/>
      <c r="L939" s="24">
        <f t="shared" si="373"/>
        <v>0</v>
      </c>
      <c r="M939" s="30">
        <v>584.03</v>
      </c>
      <c r="N939" s="30"/>
      <c r="O939" s="30"/>
      <c r="P939" s="30"/>
    </row>
    <row r="940" spans="1:16" s="1" customFormat="1">
      <c r="A940" s="28"/>
      <c r="B940" s="32" t="s">
        <v>22</v>
      </c>
      <c r="C940" s="24">
        <f t="shared" si="372"/>
        <v>0</v>
      </c>
      <c r="D940" s="30"/>
      <c r="E940" s="30"/>
      <c r="F940" s="30"/>
      <c r="G940" s="30"/>
      <c r="H940" s="31"/>
      <c r="I940" s="31"/>
      <c r="J940" s="31"/>
      <c r="K940" s="31"/>
      <c r="L940" s="24">
        <f t="shared" si="373"/>
        <v>0</v>
      </c>
      <c r="M940" s="30"/>
      <c r="N940" s="30"/>
      <c r="O940" s="30"/>
      <c r="P940" s="30"/>
    </row>
    <row r="941" spans="1:16" s="1" customFormat="1">
      <c r="A941" s="28"/>
      <c r="B941" s="32" t="s">
        <v>23</v>
      </c>
      <c r="C941" s="24">
        <f t="shared" si="372"/>
        <v>15600</v>
      </c>
      <c r="D941" s="30">
        <v>115266</v>
      </c>
      <c r="E941" s="30">
        <v>15600</v>
      </c>
      <c r="F941" s="30"/>
      <c r="G941" s="30"/>
      <c r="H941" s="31"/>
      <c r="I941" s="31"/>
      <c r="J941" s="31"/>
      <c r="K941" s="31"/>
      <c r="L941" s="24">
        <f t="shared" si="373"/>
        <v>0</v>
      </c>
      <c r="M941" s="30">
        <v>115266</v>
      </c>
      <c r="N941" s="30"/>
      <c r="O941" s="30"/>
      <c r="P941" s="30"/>
    </row>
    <row r="942" spans="1:16" s="1" customFormat="1">
      <c r="A942" s="28"/>
      <c r="B942" s="29" t="s">
        <v>24</v>
      </c>
      <c r="C942" s="24">
        <f t="shared" si="372"/>
        <v>41193.58</v>
      </c>
      <c r="D942" s="24">
        <f>639172.48+41193.6+440594.99+94870.43</f>
        <v>1215831.4999999998</v>
      </c>
      <c r="E942" s="30">
        <v>41193.58</v>
      </c>
      <c r="F942" s="30"/>
      <c r="G942" s="30"/>
      <c r="H942" s="31"/>
      <c r="I942" s="31"/>
      <c r="J942" s="31"/>
      <c r="K942" s="31"/>
      <c r="L942" s="24">
        <f t="shared" si="373"/>
        <v>0</v>
      </c>
      <c r="M942" s="24">
        <f>639172.48+41193.6+440594.99+94870.43</f>
        <v>1215831.4999999998</v>
      </c>
      <c r="N942" s="30"/>
      <c r="O942" s="30"/>
      <c r="P942" s="30"/>
    </row>
    <row r="943" spans="1:16" s="1" customFormat="1">
      <c r="A943" s="28"/>
      <c r="B943" s="34" t="s">
        <v>25</v>
      </c>
      <c r="C943" s="24">
        <f t="shared" si="372"/>
        <v>0</v>
      </c>
      <c r="D943" s="30"/>
      <c r="E943" s="30"/>
      <c r="F943" s="30"/>
      <c r="G943" s="30"/>
      <c r="H943" s="31"/>
      <c r="I943" s="31"/>
      <c r="J943" s="31"/>
      <c r="K943" s="31"/>
      <c r="L943" s="24">
        <f t="shared" si="373"/>
        <v>0</v>
      </c>
      <c r="M943" s="30"/>
      <c r="N943" s="30"/>
      <c r="O943" s="30"/>
      <c r="P943" s="30"/>
    </row>
    <row r="944" spans="1:16" s="1" customFormat="1">
      <c r="A944" s="28"/>
      <c r="B944" s="32" t="s">
        <v>26</v>
      </c>
      <c r="C944" s="24">
        <f t="shared" si="372"/>
        <v>0</v>
      </c>
      <c r="D944" s="30"/>
      <c r="E944" s="30"/>
      <c r="F944" s="30"/>
      <c r="G944" s="30"/>
      <c r="H944" s="31"/>
      <c r="I944" s="31"/>
      <c r="J944" s="31"/>
      <c r="K944" s="31"/>
      <c r="L944" s="24">
        <f t="shared" si="373"/>
        <v>0</v>
      </c>
      <c r="M944" s="30"/>
      <c r="N944" s="30"/>
      <c r="O944" s="30"/>
      <c r="P944" s="30"/>
    </row>
    <row r="945" spans="1:16" s="1" customFormat="1" ht="30">
      <c r="A945" s="28"/>
      <c r="B945" s="35" t="s">
        <v>27</v>
      </c>
      <c r="C945" s="36">
        <f t="shared" ref="C945:G945" si="374">SUM(C946:C949)</f>
        <v>10391.51</v>
      </c>
      <c r="D945" s="36">
        <f t="shared" si="374"/>
        <v>300688.78000000003</v>
      </c>
      <c r="E945" s="36">
        <f t="shared" si="374"/>
        <v>10391.51</v>
      </c>
      <c r="F945" s="36">
        <f t="shared" si="374"/>
        <v>0</v>
      </c>
      <c r="G945" s="36">
        <f t="shared" si="374"/>
        <v>0</v>
      </c>
      <c r="H945" s="31"/>
      <c r="I945" s="31"/>
      <c r="J945" s="31"/>
      <c r="K945" s="31"/>
      <c r="L945" s="36">
        <f t="shared" ref="L945:P945" si="375">SUM(L946:L949)</f>
        <v>0</v>
      </c>
      <c r="M945" s="36">
        <f t="shared" si="375"/>
        <v>300688.78000000003</v>
      </c>
      <c r="N945" s="36">
        <f t="shared" si="375"/>
        <v>0</v>
      </c>
      <c r="O945" s="36">
        <f t="shared" si="375"/>
        <v>0</v>
      </c>
      <c r="P945" s="36">
        <f t="shared" si="375"/>
        <v>0</v>
      </c>
    </row>
    <row r="946" spans="1:16" s="1" customFormat="1">
      <c r="A946" s="28"/>
      <c r="B946" s="38" t="s">
        <v>28</v>
      </c>
      <c r="C946" s="24">
        <f t="shared" ref="C946:C956" si="376">E946+F946+G946</f>
        <v>0</v>
      </c>
      <c r="D946" s="30">
        <v>92928.61</v>
      </c>
      <c r="E946" s="30"/>
      <c r="F946" s="30"/>
      <c r="G946" s="30"/>
      <c r="H946" s="31"/>
      <c r="I946" s="31"/>
      <c r="J946" s="31"/>
      <c r="K946" s="31"/>
      <c r="L946" s="24">
        <f t="shared" ref="L946:L956" si="377">N946+O946+P946</f>
        <v>0</v>
      </c>
      <c r="M946" s="30">
        <v>92928.61</v>
      </c>
      <c r="N946" s="30"/>
      <c r="O946" s="30"/>
      <c r="P946" s="30"/>
    </row>
    <row r="947" spans="1:16" s="1" customFormat="1">
      <c r="A947" s="28"/>
      <c r="B947" s="38" t="s">
        <v>29</v>
      </c>
      <c r="C947" s="24">
        <f t="shared" si="376"/>
        <v>0</v>
      </c>
      <c r="D947" s="87">
        <v>124350.23</v>
      </c>
      <c r="E947" s="30"/>
      <c r="F947" s="30"/>
      <c r="G947" s="30"/>
      <c r="H947" s="31"/>
      <c r="I947" s="31"/>
      <c r="J947" s="31"/>
      <c r="K947" s="31"/>
      <c r="L947" s="24">
        <f t="shared" si="377"/>
        <v>0</v>
      </c>
      <c r="M947" s="87">
        <v>124350.23</v>
      </c>
      <c r="N947" s="30"/>
      <c r="O947" s="30"/>
      <c r="P947" s="30"/>
    </row>
    <row r="948" spans="1:16" s="1" customFormat="1">
      <c r="A948" s="28"/>
      <c r="B948" s="38" t="s">
        <v>30</v>
      </c>
      <c r="C948" s="24">
        <f t="shared" si="376"/>
        <v>2432.2600000000002</v>
      </c>
      <c r="D948" s="30">
        <v>83409.94</v>
      </c>
      <c r="E948" s="30">
        <v>2432.2600000000002</v>
      </c>
      <c r="F948" s="30"/>
      <c r="G948" s="30"/>
      <c r="H948" s="31"/>
      <c r="I948" s="31"/>
      <c r="J948" s="31"/>
      <c r="K948" s="31"/>
      <c r="L948" s="24">
        <f t="shared" si="377"/>
        <v>0</v>
      </c>
      <c r="M948" s="30">
        <v>83409.94</v>
      </c>
      <c r="N948" s="30"/>
      <c r="O948" s="30"/>
      <c r="P948" s="30"/>
    </row>
    <row r="949" spans="1:16" s="1" customFormat="1">
      <c r="A949" s="28"/>
      <c r="B949" s="38" t="s">
        <v>31</v>
      </c>
      <c r="C949" s="24">
        <f t="shared" si="376"/>
        <v>7959.25</v>
      </c>
      <c r="D949" s="30"/>
      <c r="E949" s="30">
        <v>7959.25</v>
      </c>
      <c r="F949" s="30"/>
      <c r="G949" s="30"/>
      <c r="H949" s="31"/>
      <c r="I949" s="31"/>
      <c r="J949" s="31"/>
      <c r="K949" s="31"/>
      <c r="L949" s="24">
        <f t="shared" si="377"/>
        <v>0</v>
      </c>
      <c r="M949" s="30"/>
      <c r="N949" s="30"/>
      <c r="O949" s="30"/>
      <c r="P949" s="30"/>
    </row>
    <row r="950" spans="1:16" s="1" customFormat="1" ht="30">
      <c r="A950" s="28"/>
      <c r="B950" s="39" t="s">
        <v>32</v>
      </c>
      <c r="C950" s="24">
        <f t="shared" si="376"/>
        <v>0</v>
      </c>
      <c r="D950" s="30"/>
      <c r="E950" s="30"/>
      <c r="F950" s="30"/>
      <c r="G950" s="30"/>
      <c r="H950" s="31"/>
      <c r="I950" s="31"/>
      <c r="J950" s="31"/>
      <c r="K950" s="31"/>
      <c r="L950" s="24">
        <f t="shared" si="377"/>
        <v>0</v>
      </c>
      <c r="M950" s="30"/>
      <c r="N950" s="30"/>
      <c r="O950" s="30"/>
      <c r="P950" s="30"/>
    </row>
    <row r="951" spans="1:16" s="1" customFormat="1" ht="30">
      <c r="A951" s="28"/>
      <c r="B951" s="39" t="s">
        <v>33</v>
      </c>
      <c r="C951" s="24">
        <f t="shared" si="376"/>
        <v>20</v>
      </c>
      <c r="D951" s="24"/>
      <c r="E951" s="30">
        <v>20</v>
      </c>
      <c r="F951" s="30"/>
      <c r="G951" s="30"/>
      <c r="H951" s="31"/>
      <c r="I951" s="31"/>
      <c r="J951" s="31"/>
      <c r="K951" s="31"/>
      <c r="L951" s="24">
        <f t="shared" si="377"/>
        <v>0</v>
      </c>
      <c r="M951" s="24"/>
      <c r="N951" s="30"/>
      <c r="O951" s="30"/>
      <c r="P951" s="30"/>
    </row>
    <row r="952" spans="1:16" s="1" customFormat="1" ht="30">
      <c r="A952" s="28"/>
      <c r="B952" s="40" t="s">
        <v>34</v>
      </c>
      <c r="C952" s="24">
        <f t="shared" si="376"/>
        <v>0</v>
      </c>
      <c r="D952" s="30"/>
      <c r="E952" s="30"/>
      <c r="F952" s="30"/>
      <c r="G952" s="30"/>
      <c r="H952" s="31"/>
      <c r="I952" s="31"/>
      <c r="J952" s="31"/>
      <c r="K952" s="31"/>
      <c r="L952" s="24">
        <f t="shared" si="377"/>
        <v>0</v>
      </c>
      <c r="M952" s="30"/>
      <c r="N952" s="30"/>
      <c r="O952" s="30"/>
      <c r="P952" s="30"/>
    </row>
    <row r="953" spans="1:16" s="1" customFormat="1">
      <c r="A953" s="28"/>
      <c r="B953" s="40" t="s">
        <v>35</v>
      </c>
      <c r="C953" s="24">
        <f t="shared" si="376"/>
        <v>10980.01</v>
      </c>
      <c r="D953" s="30"/>
      <c r="E953" s="30">
        <f>6480+4500</f>
        <v>10980</v>
      </c>
      <c r="F953" s="30"/>
      <c r="G953" s="30">
        <v>0.01</v>
      </c>
      <c r="H953" s="31"/>
      <c r="I953" s="31"/>
      <c r="J953" s="31"/>
      <c r="K953" s="31"/>
      <c r="L953" s="24">
        <f t="shared" si="377"/>
        <v>0</v>
      </c>
      <c r="M953" s="30"/>
      <c r="N953" s="30"/>
      <c r="O953" s="30"/>
      <c r="P953" s="30"/>
    </row>
    <row r="954" spans="1:16" s="1" customFormat="1" ht="30">
      <c r="A954" s="28"/>
      <c r="B954" s="41" t="s">
        <v>36</v>
      </c>
      <c r="C954" s="24">
        <f t="shared" si="376"/>
        <v>0</v>
      </c>
      <c r="D954" s="30"/>
      <c r="E954" s="30"/>
      <c r="F954" s="30"/>
      <c r="G954" s="30"/>
      <c r="H954" s="31"/>
      <c r="I954" s="31"/>
      <c r="J954" s="31"/>
      <c r="K954" s="31"/>
      <c r="L954" s="24">
        <f t="shared" si="377"/>
        <v>0</v>
      </c>
      <c r="M954" s="30"/>
      <c r="N954" s="30"/>
      <c r="O954" s="30"/>
      <c r="P954" s="30"/>
    </row>
    <row r="955" spans="1:16" s="1" customFormat="1">
      <c r="A955" s="28"/>
      <c r="B955" s="42" t="s">
        <v>37</v>
      </c>
      <c r="C955" s="24">
        <f t="shared" si="376"/>
        <v>0</v>
      </c>
      <c r="D955" s="30"/>
      <c r="E955" s="30"/>
      <c r="F955" s="30"/>
      <c r="G955" s="30"/>
      <c r="H955" s="31"/>
      <c r="I955" s="31"/>
      <c r="J955" s="31"/>
      <c r="K955" s="31"/>
      <c r="L955" s="24">
        <f t="shared" si="377"/>
        <v>0</v>
      </c>
      <c r="M955" s="30"/>
      <c r="N955" s="30"/>
      <c r="O955" s="30"/>
      <c r="P955" s="30"/>
    </row>
    <row r="956" spans="1:16" s="1" customFormat="1" ht="30">
      <c r="A956" s="28"/>
      <c r="B956" s="42" t="s">
        <v>38</v>
      </c>
      <c r="C956" s="24">
        <f t="shared" si="376"/>
        <v>0</v>
      </c>
      <c r="D956" s="30"/>
      <c r="E956" s="30"/>
      <c r="F956" s="30"/>
      <c r="G956" s="30"/>
      <c r="H956" s="31"/>
      <c r="I956" s="31"/>
      <c r="J956" s="31"/>
      <c r="K956" s="31"/>
      <c r="L956" s="24">
        <f t="shared" si="377"/>
        <v>0</v>
      </c>
      <c r="M956" s="30"/>
      <c r="N956" s="30"/>
      <c r="O956" s="30"/>
      <c r="P956" s="30"/>
    </row>
    <row r="957" spans="1:16" s="1" customFormat="1" ht="30">
      <c r="A957" s="28"/>
      <c r="B957" s="43" t="s">
        <v>39</v>
      </c>
      <c r="C957" s="36">
        <f t="shared" ref="C957:G957" si="378">SUM(C958:C964)</f>
        <v>20000</v>
      </c>
      <c r="D957" s="36">
        <f t="shared" si="378"/>
        <v>0</v>
      </c>
      <c r="E957" s="36">
        <f t="shared" si="378"/>
        <v>20000</v>
      </c>
      <c r="F957" s="36">
        <f t="shared" si="378"/>
        <v>0</v>
      </c>
      <c r="G957" s="36">
        <f t="shared" si="378"/>
        <v>0</v>
      </c>
      <c r="H957" s="31"/>
      <c r="I957" s="31"/>
      <c r="J957" s="31"/>
      <c r="K957" s="31"/>
      <c r="L957" s="36">
        <f t="shared" ref="L957:P957" si="379">SUM(L958:L964)</f>
        <v>0</v>
      </c>
      <c r="M957" s="36">
        <f t="shared" si="379"/>
        <v>0</v>
      </c>
      <c r="N957" s="36">
        <f t="shared" si="379"/>
        <v>0</v>
      </c>
      <c r="O957" s="36">
        <f t="shared" si="379"/>
        <v>0</v>
      </c>
      <c r="P957" s="36">
        <f t="shared" si="379"/>
        <v>0</v>
      </c>
    </row>
    <row r="958" spans="1:16" s="1" customFormat="1" ht="30">
      <c r="A958" s="28" t="s">
        <v>40</v>
      </c>
      <c r="B958" s="39" t="s">
        <v>41</v>
      </c>
      <c r="C958" s="24">
        <f t="shared" ref="C958:C964" si="380">E958+F958+G958</f>
        <v>0</v>
      </c>
      <c r="D958" s="30"/>
      <c r="E958" s="30"/>
      <c r="F958" s="30"/>
      <c r="G958" s="30"/>
      <c r="H958" s="31"/>
      <c r="I958" s="31"/>
      <c r="J958" s="31"/>
      <c r="K958" s="31"/>
      <c r="L958" s="24">
        <f t="shared" ref="L958:L964" si="381">N958+O958+P958</f>
        <v>0</v>
      </c>
      <c r="M958" s="30"/>
      <c r="N958" s="30"/>
      <c r="O958" s="30"/>
      <c r="P958" s="30"/>
    </row>
    <row r="959" spans="1:16" s="1" customFormat="1">
      <c r="A959" s="28"/>
      <c r="B959" s="39" t="s">
        <v>42</v>
      </c>
      <c r="C959" s="24">
        <f t="shared" si="380"/>
        <v>0</v>
      </c>
      <c r="D959" s="30"/>
      <c r="E959" s="30"/>
      <c r="F959" s="30"/>
      <c r="G959" s="30"/>
      <c r="H959" s="31"/>
      <c r="I959" s="31"/>
      <c r="J959" s="31"/>
      <c r="K959" s="31"/>
      <c r="L959" s="24">
        <f t="shared" si="381"/>
        <v>0</v>
      </c>
      <c r="M959" s="30"/>
      <c r="N959" s="30"/>
      <c r="O959" s="30"/>
      <c r="P959" s="30"/>
    </row>
    <row r="960" spans="1:16" s="1" customFormat="1">
      <c r="A960" s="28"/>
      <c r="B960" s="39" t="s">
        <v>43</v>
      </c>
      <c r="C960" s="24">
        <f t="shared" si="380"/>
        <v>0</v>
      </c>
      <c r="D960" s="30"/>
      <c r="E960" s="30"/>
      <c r="F960" s="30"/>
      <c r="G960" s="30"/>
      <c r="H960" s="31"/>
      <c r="I960" s="31"/>
      <c r="J960" s="31"/>
      <c r="K960" s="31"/>
      <c r="L960" s="24">
        <f t="shared" si="381"/>
        <v>0</v>
      </c>
      <c r="M960" s="30"/>
      <c r="N960" s="30"/>
      <c r="O960" s="30"/>
      <c r="P960" s="30"/>
    </row>
    <row r="961" spans="1:16" s="1" customFormat="1">
      <c r="A961" s="28"/>
      <c r="B961" s="39" t="s">
        <v>44</v>
      </c>
      <c r="C961" s="24">
        <f t="shared" si="380"/>
        <v>0</v>
      </c>
      <c r="D961" s="30"/>
      <c r="E961" s="30"/>
      <c r="F961" s="30"/>
      <c r="G961" s="30"/>
      <c r="H961" s="31"/>
      <c r="I961" s="31"/>
      <c r="J961" s="31"/>
      <c r="K961" s="31"/>
      <c r="L961" s="24">
        <f t="shared" si="381"/>
        <v>0</v>
      </c>
      <c r="M961" s="30"/>
      <c r="N961" s="30"/>
      <c r="O961" s="30"/>
      <c r="P961" s="30"/>
    </row>
    <row r="962" spans="1:16" s="1" customFormat="1">
      <c r="A962" s="28"/>
      <c r="B962" s="39" t="s">
        <v>45</v>
      </c>
      <c r="C962" s="24">
        <f t="shared" si="380"/>
        <v>0</v>
      </c>
      <c r="D962" s="30"/>
      <c r="E962" s="30"/>
      <c r="F962" s="30"/>
      <c r="G962" s="30"/>
      <c r="H962" s="31"/>
      <c r="I962" s="31"/>
      <c r="J962" s="31"/>
      <c r="K962" s="31"/>
      <c r="L962" s="24">
        <f t="shared" si="381"/>
        <v>0</v>
      </c>
      <c r="M962" s="30"/>
      <c r="N962" s="30"/>
      <c r="O962" s="30"/>
      <c r="P962" s="30"/>
    </row>
    <row r="963" spans="1:16" s="1" customFormat="1" ht="30">
      <c r="A963" s="28"/>
      <c r="B963" s="39" t="s">
        <v>46</v>
      </c>
      <c r="C963" s="24">
        <f t="shared" si="380"/>
        <v>0</v>
      </c>
      <c r="D963" s="30"/>
      <c r="E963" s="30"/>
      <c r="F963" s="30"/>
      <c r="G963" s="30"/>
      <c r="H963" s="31"/>
      <c r="I963" s="31"/>
      <c r="J963" s="31"/>
      <c r="K963" s="31"/>
      <c r="L963" s="24">
        <f t="shared" si="381"/>
        <v>0</v>
      </c>
      <c r="M963" s="30"/>
      <c r="N963" s="30"/>
      <c r="O963" s="30"/>
      <c r="P963" s="30"/>
    </row>
    <row r="964" spans="1:16" s="1" customFormat="1">
      <c r="A964" s="28"/>
      <c r="B964" s="39" t="s">
        <v>47</v>
      </c>
      <c r="C964" s="24">
        <f t="shared" si="380"/>
        <v>20000</v>
      </c>
      <c r="D964" s="30"/>
      <c r="E964" s="30">
        <v>20000</v>
      </c>
      <c r="F964" s="30"/>
      <c r="G964" s="30"/>
      <c r="H964" s="31"/>
      <c r="I964" s="31"/>
      <c r="J964" s="31"/>
      <c r="K964" s="31"/>
      <c r="L964" s="24">
        <f t="shared" si="381"/>
        <v>0</v>
      </c>
      <c r="M964" s="30"/>
      <c r="N964" s="30"/>
      <c r="O964" s="30"/>
      <c r="P964" s="30"/>
    </row>
    <row r="965" spans="1:16" s="1" customFormat="1" ht="36.75" customHeight="1">
      <c r="A965" s="211" t="s">
        <v>3</v>
      </c>
      <c r="B965" s="213" t="s">
        <v>4</v>
      </c>
      <c r="C965" s="213" t="s">
        <v>5</v>
      </c>
      <c r="D965" s="10" t="s">
        <v>6</v>
      </c>
      <c r="E965" s="215" t="s">
        <v>7</v>
      </c>
      <c r="F965" s="216"/>
      <c r="G965" s="217"/>
      <c r="H965" s="218" t="s">
        <v>8</v>
      </c>
      <c r="I965" s="218"/>
      <c r="J965" s="218"/>
      <c r="K965" s="11"/>
      <c r="L965" s="219" t="s">
        <v>9</v>
      </c>
      <c r="M965" s="12" t="s">
        <v>6</v>
      </c>
      <c r="N965" s="208" t="s">
        <v>10</v>
      </c>
      <c r="O965" s="209"/>
      <c r="P965" s="210"/>
    </row>
    <row r="966" spans="1:16" s="1" customFormat="1" ht="47.25" customHeight="1">
      <c r="A966" s="212"/>
      <c r="B966" s="214"/>
      <c r="C966" s="214"/>
      <c r="D966" s="13" t="s">
        <v>11</v>
      </c>
      <c r="E966" s="13" t="s">
        <v>12</v>
      </c>
      <c r="F966" s="13" t="s">
        <v>13</v>
      </c>
      <c r="G966" s="13" t="s">
        <v>14</v>
      </c>
      <c r="H966" s="14" t="s">
        <v>15</v>
      </c>
      <c r="I966" s="14" t="s">
        <v>16</v>
      </c>
      <c r="J966" s="14" t="s">
        <v>17</v>
      </c>
      <c r="K966" s="14" t="s">
        <v>18</v>
      </c>
      <c r="L966" s="220"/>
      <c r="M966" s="15" t="s">
        <v>11</v>
      </c>
      <c r="N966" s="15" t="s">
        <v>12</v>
      </c>
      <c r="O966" s="15" t="s">
        <v>13</v>
      </c>
      <c r="P966" s="15" t="s">
        <v>14</v>
      </c>
    </row>
    <row r="967" spans="1:16" s="1" customFormat="1">
      <c r="A967" s="80">
        <v>11</v>
      </c>
      <c r="B967" s="89" t="s">
        <v>80</v>
      </c>
      <c r="C967" s="81">
        <f t="shared" ref="C967:G967" si="382">C968+C969+C970+C971+C972+C973+C974+C975+C980+C981+C982+C983+C984+C985+C986+C987</f>
        <v>277222.09000000003</v>
      </c>
      <c r="D967" s="81">
        <f t="shared" si="382"/>
        <v>523501.4</v>
      </c>
      <c r="E967" s="81">
        <f t="shared" si="382"/>
        <v>277222.09000000003</v>
      </c>
      <c r="F967" s="81">
        <f t="shared" si="382"/>
        <v>0</v>
      </c>
      <c r="G967" s="81">
        <f t="shared" si="382"/>
        <v>0</v>
      </c>
      <c r="H967" s="82"/>
      <c r="I967" s="83"/>
      <c r="J967" s="83"/>
      <c r="K967" s="84"/>
      <c r="L967" s="81">
        <f t="shared" ref="L967:P967" si="383">L968+L969+L970+L971+L972+L973+L974+L975+L980+L981+L982+L983+L984+L985+L986+L987</f>
        <v>0</v>
      </c>
      <c r="M967" s="81">
        <f t="shared" si="383"/>
        <v>523501.4</v>
      </c>
      <c r="N967" s="81">
        <f t="shared" si="383"/>
        <v>0</v>
      </c>
      <c r="O967" s="81">
        <f t="shared" si="383"/>
        <v>0</v>
      </c>
      <c r="P967" s="81">
        <f t="shared" si="383"/>
        <v>0</v>
      </c>
    </row>
    <row r="968" spans="1:16" s="1" customFormat="1">
      <c r="A968" s="22"/>
      <c r="B968" s="23" t="s">
        <v>20</v>
      </c>
      <c r="C968" s="24">
        <f t="shared" ref="C968:C974" si="384">E968+F968+G968</f>
        <v>0</v>
      </c>
      <c r="D968" s="25"/>
      <c r="E968" s="25"/>
      <c r="F968" s="25"/>
      <c r="G968" s="25"/>
      <c r="H968" s="26"/>
      <c r="I968" s="24"/>
      <c r="J968" s="24"/>
      <c r="K968" s="27"/>
      <c r="L968" s="24">
        <f t="shared" ref="L968:L974" si="385">N968+O968+P968</f>
        <v>0</v>
      </c>
      <c r="M968" s="25"/>
      <c r="N968" s="25"/>
      <c r="O968" s="25"/>
      <c r="P968" s="25"/>
    </row>
    <row r="969" spans="1:16" s="1" customFormat="1">
      <c r="A969" s="28"/>
      <c r="B969" s="29" t="s">
        <v>21</v>
      </c>
      <c r="C969" s="24">
        <f t="shared" si="384"/>
        <v>142869.39000000001</v>
      </c>
      <c r="D969" s="30"/>
      <c r="E969" s="30">
        <v>142869.39000000001</v>
      </c>
      <c r="F969" s="30"/>
      <c r="G969" s="30"/>
      <c r="H969" s="31"/>
      <c r="I969" s="31"/>
      <c r="J969" s="31"/>
      <c r="K969" s="31"/>
      <c r="L969" s="24">
        <f t="shared" si="385"/>
        <v>0</v>
      </c>
      <c r="M969" s="30"/>
      <c r="N969" s="30"/>
      <c r="O969" s="30"/>
      <c r="P969" s="30"/>
    </row>
    <row r="970" spans="1:16" s="1" customFormat="1">
      <c r="A970" s="28"/>
      <c r="B970" s="32" t="s">
        <v>22</v>
      </c>
      <c r="C970" s="24">
        <f t="shared" si="384"/>
        <v>0</v>
      </c>
      <c r="D970" s="30"/>
      <c r="E970" s="30"/>
      <c r="F970" s="30"/>
      <c r="G970" s="30"/>
      <c r="H970" s="31"/>
      <c r="I970" s="31"/>
      <c r="J970" s="31"/>
      <c r="K970" s="31"/>
      <c r="L970" s="24">
        <f t="shared" si="385"/>
        <v>0</v>
      </c>
      <c r="M970" s="30"/>
      <c r="N970" s="30"/>
      <c r="O970" s="30"/>
      <c r="P970" s="30"/>
    </row>
    <row r="971" spans="1:16" s="1" customFormat="1">
      <c r="A971" s="28"/>
      <c r="B971" s="32" t="s">
        <v>23</v>
      </c>
      <c r="C971" s="24">
        <f t="shared" si="384"/>
        <v>0</v>
      </c>
      <c r="D971" s="30"/>
      <c r="E971" s="30"/>
      <c r="F971" s="30"/>
      <c r="G971" s="30"/>
      <c r="H971" s="31"/>
      <c r="I971" s="31"/>
      <c r="J971" s="31"/>
      <c r="K971" s="31"/>
      <c r="L971" s="24">
        <f t="shared" si="385"/>
        <v>0</v>
      </c>
      <c r="M971" s="30"/>
      <c r="N971" s="30"/>
      <c r="O971" s="30"/>
      <c r="P971" s="30"/>
    </row>
    <row r="972" spans="1:16" s="1" customFormat="1">
      <c r="A972" s="28"/>
      <c r="B972" s="29" t="s">
        <v>24</v>
      </c>
      <c r="C972" s="24">
        <f t="shared" si="384"/>
        <v>127140.67</v>
      </c>
      <c r="D972" s="30">
        <v>496070.01</v>
      </c>
      <c r="E972" s="30">
        <f>12000+6691.75+108448.92</f>
        <v>127140.67</v>
      </c>
      <c r="F972" s="30"/>
      <c r="G972" s="30"/>
      <c r="H972" s="31"/>
      <c r="I972" s="31"/>
      <c r="J972" s="31"/>
      <c r="K972" s="31"/>
      <c r="L972" s="24">
        <f t="shared" si="385"/>
        <v>0</v>
      </c>
      <c r="M972" s="30">
        <v>496070.01</v>
      </c>
      <c r="N972" s="30"/>
      <c r="O972" s="30"/>
      <c r="P972" s="30"/>
    </row>
    <row r="973" spans="1:16" s="1" customFormat="1">
      <c r="A973" s="28"/>
      <c r="B973" s="34" t="s">
        <v>25</v>
      </c>
      <c r="C973" s="24">
        <f t="shared" si="384"/>
        <v>0</v>
      </c>
      <c r="D973" s="30"/>
      <c r="E973" s="30"/>
      <c r="F973" s="30"/>
      <c r="G973" s="30"/>
      <c r="H973" s="31"/>
      <c r="I973" s="31"/>
      <c r="J973" s="31"/>
      <c r="K973" s="31"/>
      <c r="L973" s="24">
        <f t="shared" si="385"/>
        <v>0</v>
      </c>
      <c r="M973" s="30"/>
      <c r="N973" s="30"/>
      <c r="O973" s="30"/>
      <c r="P973" s="30"/>
    </row>
    <row r="974" spans="1:16" s="1" customFormat="1">
      <c r="A974" s="28"/>
      <c r="B974" s="32" t="s">
        <v>26</v>
      </c>
      <c r="C974" s="24">
        <f t="shared" si="384"/>
        <v>0</v>
      </c>
      <c r="D974" s="30"/>
      <c r="E974" s="30"/>
      <c r="F974" s="30"/>
      <c r="G974" s="30"/>
      <c r="H974" s="31"/>
      <c r="I974" s="31"/>
      <c r="J974" s="31"/>
      <c r="K974" s="31"/>
      <c r="L974" s="24">
        <f t="shared" si="385"/>
        <v>0</v>
      </c>
      <c r="M974" s="30"/>
      <c r="N974" s="30"/>
      <c r="O974" s="30"/>
      <c r="P974" s="30"/>
    </row>
    <row r="975" spans="1:16" s="1" customFormat="1" ht="30">
      <c r="A975" s="28"/>
      <c r="B975" s="35" t="s">
        <v>27</v>
      </c>
      <c r="C975" s="36">
        <f t="shared" ref="C975:G975" si="386">SUM(C976:C979)</f>
        <v>0</v>
      </c>
      <c r="D975" s="36">
        <f t="shared" si="386"/>
        <v>27431.39</v>
      </c>
      <c r="E975" s="36">
        <f t="shared" si="386"/>
        <v>0</v>
      </c>
      <c r="F975" s="36">
        <f t="shared" si="386"/>
        <v>0</v>
      </c>
      <c r="G975" s="36">
        <f t="shared" si="386"/>
        <v>0</v>
      </c>
      <c r="H975" s="31"/>
      <c r="I975" s="31"/>
      <c r="J975" s="31"/>
      <c r="K975" s="31"/>
      <c r="L975" s="36">
        <f t="shared" ref="L975:P975" si="387">SUM(L976:L979)</f>
        <v>0</v>
      </c>
      <c r="M975" s="36">
        <f t="shared" si="387"/>
        <v>27431.39</v>
      </c>
      <c r="N975" s="36">
        <f t="shared" si="387"/>
        <v>0</v>
      </c>
      <c r="O975" s="36">
        <f t="shared" si="387"/>
        <v>0</v>
      </c>
      <c r="P975" s="36">
        <f t="shared" si="387"/>
        <v>0</v>
      </c>
    </row>
    <row r="976" spans="1:16" s="1" customFormat="1">
      <c r="A976" s="28"/>
      <c r="B976" s="38" t="s">
        <v>28</v>
      </c>
      <c r="C976" s="24">
        <f t="shared" ref="C976:C986" si="388">E976+F976+G976</f>
        <v>0</v>
      </c>
      <c r="D976" s="30"/>
      <c r="E976" s="30"/>
      <c r="F976" s="30"/>
      <c r="G976" s="30"/>
      <c r="H976" s="31"/>
      <c r="I976" s="31"/>
      <c r="J976" s="31"/>
      <c r="K976" s="31"/>
      <c r="L976" s="24">
        <f t="shared" ref="L976:L986" si="389">N976+O976+P976</f>
        <v>0</v>
      </c>
      <c r="M976" s="30"/>
      <c r="N976" s="30"/>
      <c r="O976" s="30"/>
      <c r="P976" s="30"/>
    </row>
    <row r="977" spans="1:16" s="1" customFormat="1">
      <c r="A977" s="28"/>
      <c r="B977" s="38" t="s">
        <v>29</v>
      </c>
      <c r="C977" s="24">
        <f t="shared" si="388"/>
        <v>0</v>
      </c>
      <c r="D977" s="30"/>
      <c r="E977" s="30"/>
      <c r="F977" s="30"/>
      <c r="G977" s="30"/>
      <c r="H977" s="31"/>
      <c r="I977" s="31"/>
      <c r="J977" s="31"/>
      <c r="K977" s="31"/>
      <c r="L977" s="24">
        <f t="shared" si="389"/>
        <v>0</v>
      </c>
      <c r="M977" s="30"/>
      <c r="N977" s="30"/>
      <c r="O977" s="30"/>
      <c r="P977" s="30"/>
    </row>
    <row r="978" spans="1:16" s="1" customFormat="1">
      <c r="A978" s="28"/>
      <c r="B978" s="38" t="s">
        <v>30</v>
      </c>
      <c r="C978" s="24">
        <f t="shared" si="388"/>
        <v>0</v>
      </c>
      <c r="D978" s="30">
        <v>10367.9</v>
      </c>
      <c r="E978" s="30"/>
      <c r="F978" s="30"/>
      <c r="G978" s="30"/>
      <c r="H978" s="31"/>
      <c r="I978" s="31"/>
      <c r="J978" s="31"/>
      <c r="K978" s="31"/>
      <c r="L978" s="24">
        <f t="shared" si="389"/>
        <v>0</v>
      </c>
      <c r="M978" s="30">
        <v>10367.9</v>
      </c>
      <c r="N978" s="30"/>
      <c r="O978" s="30"/>
      <c r="P978" s="30"/>
    </row>
    <row r="979" spans="1:16" s="1" customFormat="1">
      <c r="A979" s="28"/>
      <c r="B979" s="38" t="s">
        <v>31</v>
      </c>
      <c r="C979" s="24">
        <f t="shared" si="388"/>
        <v>0</v>
      </c>
      <c r="D979" s="30">
        <v>17063.490000000002</v>
      </c>
      <c r="E979" s="30"/>
      <c r="F979" s="30"/>
      <c r="G979" s="30"/>
      <c r="H979" s="31"/>
      <c r="I979" s="31"/>
      <c r="J979" s="31"/>
      <c r="K979" s="31"/>
      <c r="L979" s="24">
        <f t="shared" si="389"/>
        <v>0</v>
      </c>
      <c r="M979" s="30">
        <v>17063.490000000002</v>
      </c>
      <c r="N979" s="30"/>
      <c r="O979" s="30"/>
      <c r="P979" s="30"/>
    </row>
    <row r="980" spans="1:16" s="1" customFormat="1" ht="30">
      <c r="A980" s="28"/>
      <c r="B980" s="39" t="s">
        <v>32</v>
      </c>
      <c r="C980" s="24">
        <f t="shared" si="388"/>
        <v>0</v>
      </c>
      <c r="D980" s="30"/>
      <c r="E980" s="30"/>
      <c r="F980" s="30"/>
      <c r="G980" s="30"/>
      <c r="H980" s="31"/>
      <c r="I980" s="31"/>
      <c r="J980" s="31"/>
      <c r="K980" s="31"/>
      <c r="L980" s="24">
        <f t="shared" si="389"/>
        <v>0</v>
      </c>
      <c r="M980" s="30"/>
      <c r="N980" s="30"/>
      <c r="O980" s="30"/>
      <c r="P980" s="30"/>
    </row>
    <row r="981" spans="1:16" s="1" customFormat="1" ht="30">
      <c r="A981" s="28"/>
      <c r="B981" s="39" t="s">
        <v>33</v>
      </c>
      <c r="C981" s="24">
        <f t="shared" si="388"/>
        <v>7212.03</v>
      </c>
      <c r="D981" s="30"/>
      <c r="E981" s="30">
        <v>7212.03</v>
      </c>
      <c r="F981" s="30"/>
      <c r="G981" s="30"/>
      <c r="H981" s="31"/>
      <c r="I981" s="31"/>
      <c r="J981" s="31"/>
      <c r="K981" s="31"/>
      <c r="L981" s="24">
        <f t="shared" si="389"/>
        <v>0</v>
      </c>
      <c r="M981" s="30"/>
      <c r="N981" s="30"/>
      <c r="O981" s="30"/>
      <c r="P981" s="30"/>
    </row>
    <row r="982" spans="1:16" s="1" customFormat="1" ht="30">
      <c r="A982" s="28"/>
      <c r="B982" s="40" t="s">
        <v>34</v>
      </c>
      <c r="C982" s="24">
        <f t="shared" si="388"/>
        <v>0</v>
      </c>
      <c r="D982" s="30"/>
      <c r="E982" s="30"/>
      <c r="F982" s="30"/>
      <c r="G982" s="30"/>
      <c r="H982" s="31"/>
      <c r="I982" s="31"/>
      <c r="J982" s="31"/>
      <c r="K982" s="31"/>
      <c r="L982" s="24">
        <f t="shared" si="389"/>
        <v>0</v>
      </c>
      <c r="M982" s="30"/>
      <c r="N982" s="30"/>
      <c r="O982" s="30"/>
      <c r="P982" s="30"/>
    </row>
    <row r="983" spans="1:16" s="1" customFormat="1">
      <c r="A983" s="28"/>
      <c r="B983" s="40" t="s">
        <v>35</v>
      </c>
      <c r="C983" s="24">
        <f t="shared" si="388"/>
        <v>0</v>
      </c>
      <c r="D983" s="30"/>
      <c r="E983" s="30"/>
      <c r="F983" s="30"/>
      <c r="G983" s="30"/>
      <c r="H983" s="31"/>
      <c r="I983" s="31"/>
      <c r="J983" s="31"/>
      <c r="K983" s="31"/>
      <c r="L983" s="24">
        <f t="shared" si="389"/>
        <v>0</v>
      </c>
      <c r="M983" s="30"/>
      <c r="N983" s="30"/>
      <c r="O983" s="30"/>
      <c r="P983" s="30"/>
    </row>
    <row r="984" spans="1:16" s="1" customFormat="1" ht="30">
      <c r="A984" s="28"/>
      <c r="B984" s="41" t="s">
        <v>36</v>
      </c>
      <c r="C984" s="24">
        <f t="shared" si="388"/>
        <v>0</v>
      </c>
      <c r="D984" s="30"/>
      <c r="E984" s="30"/>
      <c r="F984" s="30"/>
      <c r="G984" s="30"/>
      <c r="H984" s="31"/>
      <c r="I984" s="31"/>
      <c r="J984" s="31"/>
      <c r="K984" s="31"/>
      <c r="L984" s="24">
        <f t="shared" si="389"/>
        <v>0</v>
      </c>
      <c r="M984" s="30"/>
      <c r="N984" s="30"/>
      <c r="O984" s="30"/>
      <c r="P984" s="30"/>
    </row>
    <row r="985" spans="1:16" s="1" customFormat="1">
      <c r="A985" s="28"/>
      <c r="B985" s="42" t="s">
        <v>37</v>
      </c>
      <c r="C985" s="24">
        <f t="shared" si="388"/>
        <v>0</v>
      </c>
      <c r="D985" s="30"/>
      <c r="E985" s="30"/>
      <c r="F985" s="30"/>
      <c r="G985" s="30"/>
      <c r="H985" s="31"/>
      <c r="I985" s="31"/>
      <c r="J985" s="31"/>
      <c r="K985" s="31"/>
      <c r="L985" s="24">
        <f t="shared" si="389"/>
        <v>0</v>
      </c>
      <c r="M985" s="30"/>
      <c r="N985" s="30"/>
      <c r="O985" s="30"/>
      <c r="P985" s="30"/>
    </row>
    <row r="986" spans="1:16" s="1" customFormat="1" ht="30">
      <c r="A986" s="28"/>
      <c r="B986" s="42" t="s">
        <v>38</v>
      </c>
      <c r="C986" s="24">
        <f t="shared" si="388"/>
        <v>0</v>
      </c>
      <c r="D986" s="30"/>
      <c r="E986" s="30"/>
      <c r="F986" s="30"/>
      <c r="G986" s="30"/>
      <c r="H986" s="31"/>
      <c r="I986" s="31"/>
      <c r="J986" s="31"/>
      <c r="K986" s="31"/>
      <c r="L986" s="24">
        <f t="shared" si="389"/>
        <v>0</v>
      </c>
      <c r="M986" s="30"/>
      <c r="N986" s="30"/>
      <c r="O986" s="30"/>
      <c r="P986" s="30"/>
    </row>
    <row r="987" spans="1:16" s="1" customFormat="1" ht="30">
      <c r="A987" s="28"/>
      <c r="B987" s="43" t="s">
        <v>39</v>
      </c>
      <c r="C987" s="36">
        <f t="shared" ref="C987:G987" si="390">SUM(C988:C994)</f>
        <v>0</v>
      </c>
      <c r="D987" s="36">
        <f t="shared" si="390"/>
        <v>0</v>
      </c>
      <c r="E987" s="36">
        <f t="shared" si="390"/>
        <v>0</v>
      </c>
      <c r="F987" s="36">
        <f t="shared" si="390"/>
        <v>0</v>
      </c>
      <c r="G987" s="36">
        <f t="shared" si="390"/>
        <v>0</v>
      </c>
      <c r="H987" s="31"/>
      <c r="I987" s="31"/>
      <c r="J987" s="31"/>
      <c r="K987" s="31"/>
      <c r="L987" s="36">
        <f t="shared" ref="L987:P987" si="391">SUM(L988:L994)</f>
        <v>0</v>
      </c>
      <c r="M987" s="36">
        <f t="shared" si="391"/>
        <v>0</v>
      </c>
      <c r="N987" s="36">
        <f t="shared" si="391"/>
        <v>0</v>
      </c>
      <c r="O987" s="36">
        <f t="shared" si="391"/>
        <v>0</v>
      </c>
      <c r="P987" s="36">
        <f t="shared" si="391"/>
        <v>0</v>
      </c>
    </row>
    <row r="988" spans="1:16" s="1" customFormat="1" ht="30">
      <c r="A988" s="28" t="s">
        <v>40</v>
      </c>
      <c r="B988" s="39" t="s">
        <v>41</v>
      </c>
      <c r="C988" s="24">
        <f t="shared" ref="C988:C994" si="392">E988+F988+G988</f>
        <v>0</v>
      </c>
      <c r="D988" s="30"/>
      <c r="E988" s="30"/>
      <c r="F988" s="30"/>
      <c r="G988" s="30"/>
      <c r="H988" s="31"/>
      <c r="I988" s="31"/>
      <c r="J988" s="31"/>
      <c r="K988" s="31"/>
      <c r="L988" s="24">
        <f t="shared" ref="L988:L994" si="393">N988+O988+P988</f>
        <v>0</v>
      </c>
      <c r="M988" s="30"/>
      <c r="N988" s="30"/>
      <c r="O988" s="30"/>
      <c r="P988" s="30"/>
    </row>
    <row r="989" spans="1:16" s="1" customFormat="1">
      <c r="A989" s="28"/>
      <c r="B989" s="39" t="s">
        <v>42</v>
      </c>
      <c r="C989" s="24">
        <f t="shared" si="392"/>
        <v>0</v>
      </c>
      <c r="D989" s="30"/>
      <c r="E989" s="30"/>
      <c r="F989" s="30"/>
      <c r="G989" s="30"/>
      <c r="H989" s="31"/>
      <c r="I989" s="31"/>
      <c r="J989" s="31"/>
      <c r="K989" s="31"/>
      <c r="L989" s="24">
        <f t="shared" si="393"/>
        <v>0</v>
      </c>
      <c r="M989" s="30"/>
      <c r="N989" s="30"/>
      <c r="O989" s="30"/>
      <c r="P989" s="30"/>
    </row>
    <row r="990" spans="1:16" s="1" customFormat="1">
      <c r="A990" s="28"/>
      <c r="B990" s="39" t="s">
        <v>43</v>
      </c>
      <c r="C990" s="24">
        <f t="shared" si="392"/>
        <v>0</v>
      </c>
      <c r="D990" s="30"/>
      <c r="E990" s="30"/>
      <c r="F990" s="30"/>
      <c r="G990" s="30"/>
      <c r="H990" s="31"/>
      <c r="I990" s="31"/>
      <c r="J990" s="31"/>
      <c r="K990" s="31"/>
      <c r="L990" s="24">
        <f t="shared" si="393"/>
        <v>0</v>
      </c>
      <c r="M990" s="30"/>
      <c r="N990" s="30"/>
      <c r="O990" s="30"/>
      <c r="P990" s="30"/>
    </row>
    <row r="991" spans="1:16" s="1" customFormat="1">
      <c r="A991" s="28"/>
      <c r="B991" s="39" t="s">
        <v>44</v>
      </c>
      <c r="C991" s="24">
        <f t="shared" si="392"/>
        <v>0</v>
      </c>
      <c r="D991" s="30"/>
      <c r="E991" s="30"/>
      <c r="F991" s="30"/>
      <c r="G991" s="30"/>
      <c r="H991" s="31"/>
      <c r="I991" s="31"/>
      <c r="J991" s="31"/>
      <c r="K991" s="31"/>
      <c r="L991" s="24">
        <f t="shared" si="393"/>
        <v>0</v>
      </c>
      <c r="M991" s="30"/>
      <c r="N991" s="30"/>
      <c r="O991" s="30"/>
      <c r="P991" s="30"/>
    </row>
    <row r="992" spans="1:16" s="1" customFormat="1">
      <c r="A992" s="28"/>
      <c r="B992" s="39" t="s">
        <v>45</v>
      </c>
      <c r="C992" s="24">
        <f t="shared" si="392"/>
        <v>0</v>
      </c>
      <c r="D992" s="30"/>
      <c r="E992" s="30"/>
      <c r="F992" s="30"/>
      <c r="G992" s="30"/>
      <c r="H992" s="31"/>
      <c r="I992" s="31"/>
      <c r="J992" s="31"/>
      <c r="K992" s="31"/>
      <c r="L992" s="24">
        <f t="shared" si="393"/>
        <v>0</v>
      </c>
      <c r="M992" s="30"/>
      <c r="N992" s="30"/>
      <c r="O992" s="30"/>
      <c r="P992" s="30"/>
    </row>
    <row r="993" spans="1:16" s="1" customFormat="1" ht="30">
      <c r="A993" s="28"/>
      <c r="B993" s="39" t="s">
        <v>46</v>
      </c>
      <c r="C993" s="24">
        <f t="shared" si="392"/>
        <v>0</v>
      </c>
      <c r="D993" s="30"/>
      <c r="E993" s="30"/>
      <c r="F993" s="30"/>
      <c r="G993" s="30"/>
      <c r="H993" s="31"/>
      <c r="I993" s="31"/>
      <c r="J993" s="31"/>
      <c r="K993" s="31"/>
      <c r="L993" s="24">
        <f t="shared" si="393"/>
        <v>0</v>
      </c>
      <c r="M993" s="30"/>
      <c r="N993" s="30"/>
      <c r="O993" s="30"/>
      <c r="P993" s="30"/>
    </row>
    <row r="994" spans="1:16" s="1" customFormat="1">
      <c r="A994" s="28"/>
      <c r="B994" s="39" t="s">
        <v>47</v>
      </c>
      <c r="C994" s="24">
        <f t="shared" si="392"/>
        <v>0</v>
      </c>
      <c r="D994" s="30"/>
      <c r="E994" s="30"/>
      <c r="F994" s="30"/>
      <c r="G994" s="30"/>
      <c r="H994" s="31"/>
      <c r="I994" s="31"/>
      <c r="J994" s="31"/>
      <c r="K994" s="31"/>
      <c r="L994" s="24">
        <f t="shared" si="393"/>
        <v>0</v>
      </c>
      <c r="M994" s="30"/>
      <c r="N994" s="30"/>
      <c r="O994" s="30"/>
      <c r="P994" s="30"/>
    </row>
    <row r="995" spans="1:16" s="1" customFormat="1" ht="36.75" customHeight="1">
      <c r="A995" s="211" t="s">
        <v>3</v>
      </c>
      <c r="B995" s="213" t="s">
        <v>4</v>
      </c>
      <c r="C995" s="213" t="s">
        <v>5</v>
      </c>
      <c r="D995" s="10" t="s">
        <v>6</v>
      </c>
      <c r="E995" s="215" t="s">
        <v>7</v>
      </c>
      <c r="F995" s="216"/>
      <c r="G995" s="217"/>
      <c r="H995" s="218" t="s">
        <v>8</v>
      </c>
      <c r="I995" s="218"/>
      <c r="J995" s="218"/>
      <c r="K995" s="11"/>
      <c r="L995" s="219" t="s">
        <v>9</v>
      </c>
      <c r="M995" s="12" t="s">
        <v>6</v>
      </c>
      <c r="N995" s="208" t="s">
        <v>10</v>
      </c>
      <c r="O995" s="209"/>
      <c r="P995" s="210"/>
    </row>
    <row r="996" spans="1:16" s="1" customFormat="1" ht="47.25" customHeight="1">
      <c r="A996" s="212"/>
      <c r="B996" s="214"/>
      <c r="C996" s="214"/>
      <c r="D996" s="13" t="s">
        <v>11</v>
      </c>
      <c r="E996" s="13" t="s">
        <v>12</v>
      </c>
      <c r="F996" s="13" t="s">
        <v>13</v>
      </c>
      <c r="G996" s="13" t="s">
        <v>14</v>
      </c>
      <c r="H996" s="14" t="s">
        <v>15</v>
      </c>
      <c r="I996" s="14" t="s">
        <v>16</v>
      </c>
      <c r="J996" s="14" t="s">
        <v>17</v>
      </c>
      <c r="K996" s="14" t="s">
        <v>18</v>
      </c>
      <c r="L996" s="220"/>
      <c r="M996" s="15" t="s">
        <v>11</v>
      </c>
      <c r="N996" s="15" t="s">
        <v>12</v>
      </c>
      <c r="O996" s="15" t="s">
        <v>13</v>
      </c>
      <c r="P996" s="15" t="s">
        <v>14</v>
      </c>
    </row>
    <row r="997" spans="1:16" s="1" customFormat="1" ht="23.25" customHeight="1">
      <c r="A997" s="90">
        <v>12</v>
      </c>
      <c r="B997" s="91" t="s">
        <v>81</v>
      </c>
      <c r="C997" s="92">
        <f t="shared" ref="C997:G997" si="394">C998+C999+C1000+C1001+C1002+C1003+C1004+C1005+C1010+C1011+C1012+C1013+C1014+C1015+C1016+C1017</f>
        <v>1968735.86</v>
      </c>
      <c r="D997" s="92">
        <f t="shared" si="394"/>
        <v>67347.820000000007</v>
      </c>
      <c r="E997" s="92">
        <f t="shared" si="394"/>
        <v>1520094.6400000001</v>
      </c>
      <c r="F997" s="92">
        <f t="shared" si="394"/>
        <v>0</v>
      </c>
      <c r="G997" s="92">
        <f t="shared" si="394"/>
        <v>448641.22000000003</v>
      </c>
      <c r="H997" s="82"/>
      <c r="I997" s="83"/>
      <c r="J997" s="83"/>
      <c r="K997" s="84"/>
      <c r="L997" s="92">
        <f t="shared" ref="L997:P997" si="395">L998+L999+L1000+L1001+L1002+L1003+L1004+L1005+L1010+L1011+L1012+L1013+L1014+L1015+L1016+L1017</f>
        <v>0</v>
      </c>
      <c r="M997" s="92">
        <f t="shared" si="395"/>
        <v>67347.820000000007</v>
      </c>
      <c r="N997" s="92">
        <f t="shared" si="395"/>
        <v>0</v>
      </c>
      <c r="O997" s="92">
        <f t="shared" si="395"/>
        <v>0</v>
      </c>
      <c r="P997" s="92">
        <f t="shared" si="395"/>
        <v>0</v>
      </c>
    </row>
    <row r="998" spans="1:16" s="1" customFormat="1">
      <c r="A998" s="22"/>
      <c r="B998" s="23" t="s">
        <v>20</v>
      </c>
      <c r="C998" s="24">
        <f t="shared" ref="C998:C1004" si="396">E998+F998+G998</f>
        <v>217016.73</v>
      </c>
      <c r="D998" s="25"/>
      <c r="E998" s="25"/>
      <c r="F998" s="25"/>
      <c r="G998" s="25">
        <v>217016.73</v>
      </c>
      <c r="H998" s="26"/>
      <c r="I998" s="24"/>
      <c r="J998" s="24"/>
      <c r="K998" s="27"/>
      <c r="L998" s="24">
        <f t="shared" ref="L998:L1004" si="397">N998+O998+P998</f>
        <v>0</v>
      </c>
      <c r="M998" s="25"/>
      <c r="N998" s="25"/>
      <c r="O998" s="25"/>
      <c r="P998" s="25"/>
    </row>
    <row r="999" spans="1:16" s="1" customFormat="1">
      <c r="A999" s="28"/>
      <c r="B999" s="29" t="s">
        <v>21</v>
      </c>
      <c r="C999" s="24">
        <f t="shared" si="396"/>
        <v>415236.52</v>
      </c>
      <c r="D999" s="30"/>
      <c r="E999" s="30">
        <f>390797.14+9762+14677.38</f>
        <v>415236.52</v>
      </c>
      <c r="F999" s="30"/>
      <c r="G999" s="30"/>
      <c r="H999" s="31"/>
      <c r="I999" s="31"/>
      <c r="J999" s="31"/>
      <c r="K999" s="31"/>
      <c r="L999" s="24">
        <f t="shared" si="397"/>
        <v>0</v>
      </c>
      <c r="M999" s="30"/>
      <c r="N999" s="30"/>
      <c r="O999" s="30"/>
      <c r="P999" s="30"/>
    </row>
    <row r="1000" spans="1:16" s="1" customFormat="1">
      <c r="A1000" s="28"/>
      <c r="B1000" s="32" t="s">
        <v>22</v>
      </c>
      <c r="C1000" s="24">
        <f t="shared" si="396"/>
        <v>0</v>
      </c>
      <c r="D1000" s="30"/>
      <c r="E1000" s="30"/>
      <c r="F1000" s="30"/>
      <c r="G1000" s="30"/>
      <c r="H1000" s="31"/>
      <c r="I1000" s="31"/>
      <c r="J1000" s="31"/>
      <c r="K1000" s="31"/>
      <c r="L1000" s="24">
        <f t="shared" si="397"/>
        <v>0</v>
      </c>
      <c r="M1000" s="30"/>
      <c r="N1000" s="30"/>
      <c r="O1000" s="30"/>
      <c r="P1000" s="30"/>
    </row>
    <row r="1001" spans="1:16" s="1" customFormat="1">
      <c r="A1001" s="28"/>
      <c r="B1001" s="32" t="s">
        <v>23</v>
      </c>
      <c r="C1001" s="24">
        <f t="shared" si="396"/>
        <v>124211</v>
      </c>
      <c r="D1001" s="30"/>
      <c r="E1001" s="30">
        <v>124211</v>
      </c>
      <c r="F1001" s="30"/>
      <c r="G1001" s="30"/>
      <c r="H1001" s="31"/>
      <c r="I1001" s="31"/>
      <c r="J1001" s="31"/>
      <c r="K1001" s="31"/>
      <c r="L1001" s="24">
        <f t="shared" si="397"/>
        <v>0</v>
      </c>
      <c r="M1001" s="30"/>
      <c r="N1001" s="30"/>
      <c r="O1001" s="30"/>
      <c r="P1001" s="30"/>
    </row>
    <row r="1002" spans="1:16" s="1" customFormat="1">
      <c r="A1002" s="28"/>
      <c r="B1002" s="29" t="s">
        <v>24</v>
      </c>
      <c r="C1002" s="24">
        <f t="shared" si="396"/>
        <v>162236.93999999997</v>
      </c>
      <c r="D1002" s="30">
        <f>3372.38+150.18</f>
        <v>3522.56</v>
      </c>
      <c r="E1002" s="30">
        <f>127277.53+14609.58+0.44+3829.59+16519.8</f>
        <v>162236.93999999997</v>
      </c>
      <c r="F1002" s="30"/>
      <c r="G1002" s="30"/>
      <c r="H1002" s="31"/>
      <c r="I1002" s="31"/>
      <c r="J1002" s="31"/>
      <c r="K1002" s="31"/>
      <c r="L1002" s="24">
        <f t="shared" si="397"/>
        <v>0</v>
      </c>
      <c r="M1002" s="30">
        <f>3372.38+150.18</f>
        <v>3522.56</v>
      </c>
      <c r="N1002" s="30"/>
      <c r="O1002" s="30"/>
      <c r="P1002" s="30"/>
    </row>
    <row r="1003" spans="1:16" s="1" customFormat="1">
      <c r="A1003" s="28"/>
      <c r="B1003" s="34" t="s">
        <v>25</v>
      </c>
      <c r="C1003" s="24">
        <f t="shared" si="396"/>
        <v>0</v>
      </c>
      <c r="D1003" s="30">
        <f>49540.71+9453.34</f>
        <v>58994.05</v>
      </c>
      <c r="E1003" s="30"/>
      <c r="F1003" s="30"/>
      <c r="G1003" s="30"/>
      <c r="H1003" s="31"/>
      <c r="I1003" s="31"/>
      <c r="J1003" s="31"/>
      <c r="K1003" s="31"/>
      <c r="L1003" s="24">
        <f t="shared" si="397"/>
        <v>0</v>
      </c>
      <c r="M1003" s="30">
        <f>49540.71+9453.34</f>
        <v>58994.05</v>
      </c>
      <c r="N1003" s="30"/>
      <c r="O1003" s="30"/>
      <c r="P1003" s="30"/>
    </row>
    <row r="1004" spans="1:16" s="1" customFormat="1">
      <c r="A1004" s="28"/>
      <c r="B1004" s="32" t="s">
        <v>26</v>
      </c>
      <c r="C1004" s="24">
        <f t="shared" si="396"/>
        <v>0</v>
      </c>
      <c r="D1004" s="30"/>
      <c r="E1004" s="30"/>
      <c r="F1004" s="30"/>
      <c r="G1004" s="30"/>
      <c r="H1004" s="31"/>
      <c r="I1004" s="31"/>
      <c r="J1004" s="31"/>
      <c r="K1004" s="31"/>
      <c r="L1004" s="24">
        <f t="shared" si="397"/>
        <v>0</v>
      </c>
      <c r="M1004" s="30"/>
      <c r="N1004" s="30"/>
      <c r="O1004" s="30"/>
      <c r="P1004" s="30"/>
    </row>
    <row r="1005" spans="1:16" s="1" customFormat="1" ht="30">
      <c r="A1005" s="28"/>
      <c r="B1005" s="35" t="s">
        <v>27</v>
      </c>
      <c r="C1005" s="36">
        <f t="shared" ref="C1005:G1005" si="398">SUM(C1006:C1009)</f>
        <v>611266.6</v>
      </c>
      <c r="D1005" s="36">
        <f t="shared" si="398"/>
        <v>4831.21</v>
      </c>
      <c r="E1005" s="36">
        <f t="shared" si="398"/>
        <v>611266.6</v>
      </c>
      <c r="F1005" s="36">
        <f t="shared" si="398"/>
        <v>0</v>
      </c>
      <c r="G1005" s="36">
        <f t="shared" si="398"/>
        <v>0</v>
      </c>
      <c r="H1005" s="31"/>
      <c r="I1005" s="31"/>
      <c r="J1005" s="31"/>
      <c r="K1005" s="31"/>
      <c r="L1005" s="36">
        <f t="shared" ref="L1005:P1005" si="399">SUM(L1006:L1009)</f>
        <v>0</v>
      </c>
      <c r="M1005" s="36">
        <f t="shared" si="399"/>
        <v>4831.21</v>
      </c>
      <c r="N1005" s="36">
        <f t="shared" si="399"/>
        <v>0</v>
      </c>
      <c r="O1005" s="36">
        <f t="shared" si="399"/>
        <v>0</v>
      </c>
      <c r="P1005" s="36">
        <f t="shared" si="399"/>
        <v>0</v>
      </c>
    </row>
    <row r="1006" spans="1:16" s="1" customFormat="1">
      <c r="A1006" s="28"/>
      <c r="B1006" s="38" t="s">
        <v>28</v>
      </c>
      <c r="C1006" s="24">
        <f t="shared" ref="C1006:C1016" si="400">E1006+F1006+G1006</f>
        <v>406284.83</v>
      </c>
      <c r="D1006" s="30"/>
      <c r="E1006" s="30">
        <v>406284.83</v>
      </c>
      <c r="F1006" s="30"/>
      <c r="G1006" s="30"/>
      <c r="H1006" s="31"/>
      <c r="I1006" s="31"/>
      <c r="J1006" s="31"/>
      <c r="K1006" s="31"/>
      <c r="L1006" s="24">
        <f t="shared" ref="L1006:L1016" si="401">N1006+O1006+P1006</f>
        <v>0</v>
      </c>
      <c r="M1006" s="30"/>
      <c r="N1006" s="30"/>
      <c r="O1006" s="30"/>
      <c r="P1006" s="30"/>
    </row>
    <row r="1007" spans="1:16" s="1" customFormat="1">
      <c r="A1007" s="28"/>
      <c r="B1007" s="38" t="s">
        <v>29</v>
      </c>
      <c r="C1007" s="24">
        <f t="shared" si="400"/>
        <v>97202.92</v>
      </c>
      <c r="D1007" s="30"/>
      <c r="E1007" s="30">
        <v>97202.92</v>
      </c>
      <c r="F1007" s="30"/>
      <c r="G1007" s="30"/>
      <c r="H1007" s="31"/>
      <c r="I1007" s="31"/>
      <c r="J1007" s="31"/>
      <c r="K1007" s="31"/>
      <c r="L1007" s="24">
        <f t="shared" si="401"/>
        <v>0</v>
      </c>
      <c r="M1007" s="30"/>
      <c r="N1007" s="30"/>
      <c r="O1007" s="30"/>
      <c r="P1007" s="30"/>
    </row>
    <row r="1008" spans="1:16" s="1" customFormat="1">
      <c r="A1008" s="28"/>
      <c r="B1008" s="38" t="s">
        <v>30</v>
      </c>
      <c r="C1008" s="24">
        <f t="shared" si="400"/>
        <v>94392.33</v>
      </c>
      <c r="D1008" s="30">
        <v>4831.21</v>
      </c>
      <c r="E1008" s="30">
        <v>94392.33</v>
      </c>
      <c r="F1008" s="30"/>
      <c r="G1008" s="30"/>
      <c r="H1008" s="31"/>
      <c r="I1008" s="31"/>
      <c r="J1008" s="31"/>
      <c r="K1008" s="31"/>
      <c r="L1008" s="24">
        <f t="shared" si="401"/>
        <v>0</v>
      </c>
      <c r="M1008" s="30">
        <v>4831.21</v>
      </c>
      <c r="N1008" s="30"/>
      <c r="O1008" s="30"/>
      <c r="P1008" s="30"/>
    </row>
    <row r="1009" spans="1:16" s="1" customFormat="1">
      <c r="A1009" s="28"/>
      <c r="B1009" s="38" t="s">
        <v>31</v>
      </c>
      <c r="C1009" s="24">
        <f t="shared" si="400"/>
        <v>13386.52</v>
      </c>
      <c r="D1009" s="30"/>
      <c r="E1009" s="30">
        <v>13386.52</v>
      </c>
      <c r="F1009" s="30"/>
      <c r="G1009" s="30"/>
      <c r="H1009" s="31"/>
      <c r="I1009" s="31"/>
      <c r="J1009" s="31"/>
      <c r="K1009" s="31"/>
      <c r="L1009" s="24">
        <f t="shared" si="401"/>
        <v>0</v>
      </c>
      <c r="M1009" s="30"/>
      <c r="N1009" s="30"/>
      <c r="O1009" s="30"/>
      <c r="P1009" s="30"/>
    </row>
    <row r="1010" spans="1:16" s="1" customFormat="1" ht="30">
      <c r="A1010" s="28"/>
      <c r="B1010" s="39" t="s">
        <v>32</v>
      </c>
      <c r="C1010" s="24">
        <f t="shared" si="400"/>
        <v>0</v>
      </c>
      <c r="D1010" s="30"/>
      <c r="E1010" s="30"/>
      <c r="F1010" s="30"/>
      <c r="G1010" s="30"/>
      <c r="H1010" s="31"/>
      <c r="I1010" s="31"/>
      <c r="J1010" s="31"/>
      <c r="K1010" s="31"/>
      <c r="L1010" s="24">
        <f t="shared" si="401"/>
        <v>0</v>
      </c>
      <c r="M1010" s="30"/>
      <c r="N1010" s="30"/>
      <c r="O1010" s="30"/>
      <c r="P1010" s="30"/>
    </row>
    <row r="1011" spans="1:16" s="1" customFormat="1" ht="30">
      <c r="A1011" s="28"/>
      <c r="B1011" s="39" t="s">
        <v>33</v>
      </c>
      <c r="C1011" s="24">
        <f t="shared" si="400"/>
        <v>0</v>
      </c>
      <c r="D1011" s="30"/>
      <c r="E1011" s="30"/>
      <c r="F1011" s="30"/>
      <c r="G1011" s="30"/>
      <c r="H1011" s="31"/>
      <c r="I1011" s="31"/>
      <c r="J1011" s="31"/>
      <c r="K1011" s="31"/>
      <c r="L1011" s="24">
        <f t="shared" si="401"/>
        <v>0</v>
      </c>
      <c r="M1011" s="30"/>
      <c r="N1011" s="30"/>
      <c r="O1011" s="30"/>
      <c r="P1011" s="30"/>
    </row>
    <row r="1012" spans="1:16" s="1" customFormat="1" ht="30">
      <c r="A1012" s="28"/>
      <c r="B1012" s="40" t="s">
        <v>34</v>
      </c>
      <c r="C1012" s="24">
        <f t="shared" si="400"/>
        <v>0</v>
      </c>
      <c r="D1012" s="30"/>
      <c r="E1012" s="30"/>
      <c r="F1012" s="30"/>
      <c r="G1012" s="30"/>
      <c r="H1012" s="31"/>
      <c r="I1012" s="31"/>
      <c r="J1012" s="31"/>
      <c r="K1012" s="31"/>
      <c r="L1012" s="24">
        <f t="shared" si="401"/>
        <v>0</v>
      </c>
      <c r="M1012" s="30"/>
      <c r="N1012" s="30"/>
      <c r="O1012" s="30"/>
      <c r="P1012" s="30"/>
    </row>
    <row r="1013" spans="1:16" s="1" customFormat="1">
      <c r="A1013" s="28"/>
      <c r="B1013" s="40" t="s">
        <v>35</v>
      </c>
      <c r="C1013" s="24">
        <f t="shared" si="400"/>
        <v>14607.76</v>
      </c>
      <c r="D1013" s="30"/>
      <c r="E1013" s="30"/>
      <c r="F1013" s="30"/>
      <c r="G1013" s="30">
        <v>14607.76</v>
      </c>
      <c r="H1013" s="31"/>
      <c r="I1013" s="31"/>
      <c r="J1013" s="31"/>
      <c r="K1013" s="31"/>
      <c r="L1013" s="24">
        <f t="shared" si="401"/>
        <v>0</v>
      </c>
      <c r="M1013" s="30"/>
      <c r="N1013" s="30"/>
      <c r="O1013" s="30"/>
      <c r="P1013" s="30"/>
    </row>
    <row r="1014" spans="1:16" s="1" customFormat="1" ht="30">
      <c r="A1014" s="28"/>
      <c r="B1014" s="41" t="s">
        <v>36</v>
      </c>
      <c r="C1014" s="24">
        <f t="shared" si="400"/>
        <v>0</v>
      </c>
      <c r="D1014" s="30"/>
      <c r="E1014" s="30"/>
      <c r="F1014" s="30"/>
      <c r="G1014" s="30"/>
      <c r="H1014" s="31"/>
      <c r="I1014" s="31"/>
      <c r="J1014" s="31"/>
      <c r="K1014" s="31"/>
      <c r="L1014" s="24">
        <f t="shared" si="401"/>
        <v>0</v>
      </c>
      <c r="M1014" s="30"/>
      <c r="N1014" s="30"/>
      <c r="O1014" s="30"/>
      <c r="P1014" s="30"/>
    </row>
    <row r="1015" spans="1:16" s="1" customFormat="1">
      <c r="A1015" s="28"/>
      <c r="B1015" s="42" t="s">
        <v>37</v>
      </c>
      <c r="C1015" s="24">
        <f t="shared" si="400"/>
        <v>174153.58</v>
      </c>
      <c r="D1015" s="30"/>
      <c r="E1015" s="30">
        <v>174153.58</v>
      </c>
      <c r="F1015" s="30"/>
      <c r="G1015" s="30"/>
      <c r="H1015" s="31"/>
      <c r="I1015" s="31"/>
      <c r="J1015" s="31"/>
      <c r="K1015" s="31"/>
      <c r="L1015" s="24">
        <f t="shared" si="401"/>
        <v>0</v>
      </c>
      <c r="M1015" s="30"/>
      <c r="N1015" s="30"/>
      <c r="O1015" s="30"/>
      <c r="P1015" s="30"/>
    </row>
    <row r="1016" spans="1:16" s="1" customFormat="1" ht="30">
      <c r="A1016" s="28"/>
      <c r="B1016" s="42" t="s">
        <v>38</v>
      </c>
      <c r="C1016" s="24">
        <f t="shared" si="400"/>
        <v>250006.73</v>
      </c>
      <c r="D1016" s="30"/>
      <c r="E1016" s="30">
        <v>32990</v>
      </c>
      <c r="F1016" s="30"/>
      <c r="G1016" s="30">
        <v>217016.73</v>
      </c>
      <c r="H1016" s="31"/>
      <c r="I1016" s="31"/>
      <c r="J1016" s="31"/>
      <c r="K1016" s="31"/>
      <c r="L1016" s="24">
        <f t="shared" si="401"/>
        <v>0</v>
      </c>
      <c r="M1016" s="30"/>
      <c r="N1016" s="30"/>
      <c r="O1016" s="30"/>
      <c r="P1016" s="30"/>
    </row>
    <row r="1017" spans="1:16" s="1" customFormat="1" ht="30">
      <c r="A1017" s="28"/>
      <c r="B1017" s="43" t="s">
        <v>39</v>
      </c>
      <c r="C1017" s="36">
        <f t="shared" ref="C1017:G1017" si="402">SUM(C1018:C1024)</f>
        <v>0</v>
      </c>
      <c r="D1017" s="36">
        <f t="shared" si="402"/>
        <v>0</v>
      </c>
      <c r="E1017" s="36">
        <f t="shared" si="402"/>
        <v>0</v>
      </c>
      <c r="F1017" s="36">
        <f t="shared" si="402"/>
        <v>0</v>
      </c>
      <c r="G1017" s="36">
        <f t="shared" si="402"/>
        <v>0</v>
      </c>
      <c r="H1017" s="31"/>
      <c r="I1017" s="31"/>
      <c r="J1017" s="31"/>
      <c r="K1017" s="31"/>
      <c r="L1017" s="36">
        <f t="shared" ref="L1017:P1017" si="403">SUM(L1018:L1024)</f>
        <v>0</v>
      </c>
      <c r="M1017" s="36">
        <f t="shared" si="403"/>
        <v>0</v>
      </c>
      <c r="N1017" s="36">
        <f t="shared" si="403"/>
        <v>0</v>
      </c>
      <c r="O1017" s="36">
        <f t="shared" si="403"/>
        <v>0</v>
      </c>
      <c r="P1017" s="36">
        <f t="shared" si="403"/>
        <v>0</v>
      </c>
    </row>
    <row r="1018" spans="1:16" s="1" customFormat="1" ht="30">
      <c r="A1018" s="28" t="s">
        <v>40</v>
      </c>
      <c r="B1018" s="39" t="s">
        <v>41</v>
      </c>
      <c r="C1018" s="24">
        <f t="shared" ref="C1018:C1024" si="404">E1018+F1018+G1018</f>
        <v>0</v>
      </c>
      <c r="D1018" s="30"/>
      <c r="E1018" s="30"/>
      <c r="F1018" s="30"/>
      <c r="G1018" s="30"/>
      <c r="H1018" s="31"/>
      <c r="I1018" s="31"/>
      <c r="J1018" s="31"/>
      <c r="K1018" s="31"/>
      <c r="L1018" s="24">
        <f t="shared" ref="L1018:L1024" si="405">N1018+O1018+P1018</f>
        <v>0</v>
      </c>
      <c r="M1018" s="30"/>
      <c r="N1018" s="30"/>
      <c r="O1018" s="30"/>
      <c r="P1018" s="30"/>
    </row>
    <row r="1019" spans="1:16" s="1" customFormat="1">
      <c r="A1019" s="28"/>
      <c r="B1019" s="39" t="s">
        <v>42</v>
      </c>
      <c r="C1019" s="24">
        <f t="shared" si="404"/>
        <v>0</v>
      </c>
      <c r="D1019" s="30"/>
      <c r="E1019" s="30"/>
      <c r="F1019" s="30"/>
      <c r="G1019" s="30"/>
      <c r="H1019" s="31"/>
      <c r="I1019" s="31"/>
      <c r="J1019" s="31"/>
      <c r="K1019" s="31"/>
      <c r="L1019" s="24">
        <f t="shared" si="405"/>
        <v>0</v>
      </c>
      <c r="M1019" s="30"/>
      <c r="N1019" s="30"/>
      <c r="O1019" s="30"/>
      <c r="P1019" s="30"/>
    </row>
    <row r="1020" spans="1:16" s="1" customFormat="1">
      <c r="A1020" s="28"/>
      <c r="B1020" s="39" t="s">
        <v>43</v>
      </c>
      <c r="C1020" s="24">
        <f t="shared" si="404"/>
        <v>0</v>
      </c>
      <c r="D1020" s="30"/>
      <c r="E1020" s="30"/>
      <c r="F1020" s="30"/>
      <c r="G1020" s="30"/>
      <c r="H1020" s="31"/>
      <c r="I1020" s="31"/>
      <c r="J1020" s="31"/>
      <c r="K1020" s="31"/>
      <c r="L1020" s="24">
        <f t="shared" si="405"/>
        <v>0</v>
      </c>
      <c r="M1020" s="30"/>
      <c r="N1020" s="30"/>
      <c r="O1020" s="30"/>
      <c r="P1020" s="30"/>
    </row>
    <row r="1021" spans="1:16" s="1" customFormat="1">
      <c r="A1021" s="28"/>
      <c r="B1021" s="39" t="s">
        <v>44</v>
      </c>
      <c r="C1021" s="24">
        <f t="shared" si="404"/>
        <v>0</v>
      </c>
      <c r="D1021" s="30"/>
      <c r="E1021" s="30"/>
      <c r="F1021" s="30"/>
      <c r="G1021" s="30"/>
      <c r="H1021" s="31"/>
      <c r="I1021" s="31"/>
      <c r="J1021" s="31"/>
      <c r="K1021" s="31"/>
      <c r="L1021" s="24">
        <f t="shared" si="405"/>
        <v>0</v>
      </c>
      <c r="M1021" s="30"/>
      <c r="N1021" s="30"/>
      <c r="O1021" s="30"/>
      <c r="P1021" s="30"/>
    </row>
    <row r="1022" spans="1:16" s="1" customFormat="1">
      <c r="A1022" s="28"/>
      <c r="B1022" s="39" t="s">
        <v>45</v>
      </c>
      <c r="C1022" s="24">
        <f t="shared" si="404"/>
        <v>0</v>
      </c>
      <c r="D1022" s="30"/>
      <c r="E1022" s="30"/>
      <c r="F1022" s="30"/>
      <c r="G1022" s="30"/>
      <c r="H1022" s="31"/>
      <c r="I1022" s="31"/>
      <c r="J1022" s="31"/>
      <c r="K1022" s="31"/>
      <c r="L1022" s="24">
        <f t="shared" si="405"/>
        <v>0</v>
      </c>
      <c r="M1022" s="30"/>
      <c r="N1022" s="30"/>
      <c r="O1022" s="30"/>
      <c r="P1022" s="30"/>
    </row>
    <row r="1023" spans="1:16" s="1" customFormat="1" ht="30">
      <c r="A1023" s="28"/>
      <c r="B1023" s="39" t="s">
        <v>46</v>
      </c>
      <c r="C1023" s="24">
        <f t="shared" si="404"/>
        <v>0</v>
      </c>
      <c r="D1023" s="30"/>
      <c r="E1023" s="30"/>
      <c r="F1023" s="30"/>
      <c r="G1023" s="30"/>
      <c r="H1023" s="31"/>
      <c r="I1023" s="31"/>
      <c r="J1023" s="31"/>
      <c r="K1023" s="31"/>
      <c r="L1023" s="24">
        <f t="shared" si="405"/>
        <v>0</v>
      </c>
      <c r="M1023" s="30"/>
      <c r="N1023" s="30"/>
      <c r="O1023" s="30"/>
      <c r="P1023" s="30"/>
    </row>
    <row r="1024" spans="1:16" s="1" customFormat="1">
      <c r="A1024" s="28"/>
      <c r="B1024" s="39" t="s">
        <v>47</v>
      </c>
      <c r="C1024" s="24">
        <f t="shared" si="404"/>
        <v>0</v>
      </c>
      <c r="D1024" s="30"/>
      <c r="E1024" s="30"/>
      <c r="F1024" s="30"/>
      <c r="G1024" s="30"/>
      <c r="H1024" s="31"/>
      <c r="I1024" s="31"/>
      <c r="J1024" s="31"/>
      <c r="K1024" s="31"/>
      <c r="L1024" s="24">
        <f t="shared" si="405"/>
        <v>0</v>
      </c>
      <c r="M1024" s="30"/>
      <c r="N1024" s="30"/>
      <c r="O1024" s="30"/>
      <c r="P1024" s="30"/>
    </row>
    <row r="1025" spans="1:16" s="1" customFormat="1" ht="36.75" customHeight="1">
      <c r="A1025" s="211" t="s">
        <v>3</v>
      </c>
      <c r="B1025" s="213" t="s">
        <v>4</v>
      </c>
      <c r="C1025" s="213" t="s">
        <v>5</v>
      </c>
      <c r="D1025" s="10" t="s">
        <v>6</v>
      </c>
      <c r="E1025" s="215" t="s">
        <v>7</v>
      </c>
      <c r="F1025" s="216"/>
      <c r="G1025" s="217"/>
      <c r="H1025" s="218" t="s">
        <v>8</v>
      </c>
      <c r="I1025" s="218"/>
      <c r="J1025" s="218"/>
      <c r="K1025" s="11"/>
      <c r="L1025" s="219" t="s">
        <v>9</v>
      </c>
      <c r="M1025" s="12" t="s">
        <v>6</v>
      </c>
      <c r="N1025" s="208" t="s">
        <v>10</v>
      </c>
      <c r="O1025" s="209"/>
      <c r="P1025" s="210"/>
    </row>
    <row r="1026" spans="1:16" s="1" customFormat="1" ht="47.25" customHeight="1">
      <c r="A1026" s="212"/>
      <c r="B1026" s="214"/>
      <c r="C1026" s="214"/>
      <c r="D1026" s="13" t="s">
        <v>11</v>
      </c>
      <c r="E1026" s="13" t="s">
        <v>12</v>
      </c>
      <c r="F1026" s="13" t="s">
        <v>13</v>
      </c>
      <c r="G1026" s="13" t="s">
        <v>14</v>
      </c>
      <c r="H1026" s="14" t="s">
        <v>15</v>
      </c>
      <c r="I1026" s="14" t="s">
        <v>16</v>
      </c>
      <c r="J1026" s="14" t="s">
        <v>17</v>
      </c>
      <c r="K1026" s="14" t="s">
        <v>18</v>
      </c>
      <c r="L1026" s="220"/>
      <c r="M1026" s="15" t="s">
        <v>11</v>
      </c>
      <c r="N1026" s="15" t="s">
        <v>12</v>
      </c>
      <c r="O1026" s="15" t="s">
        <v>13</v>
      </c>
      <c r="P1026" s="15" t="s">
        <v>14</v>
      </c>
    </row>
    <row r="1027" spans="1:16" s="1" customFormat="1">
      <c r="A1027" s="80">
        <v>13</v>
      </c>
      <c r="B1027" s="17" t="s">
        <v>82</v>
      </c>
      <c r="C1027" s="81">
        <f t="shared" ref="C1027:G1027" si="406">C1028+C1029+C1030+C1031+C1032+C1033+C1034+C1035+C1040+C1041+C1042+C1043+C1044+C1045+C1046+C1047</f>
        <v>757365.41</v>
      </c>
      <c r="D1027" s="81">
        <f t="shared" si="406"/>
        <v>1584907.3000000003</v>
      </c>
      <c r="E1027" s="81">
        <f t="shared" si="406"/>
        <v>702082.1</v>
      </c>
      <c r="F1027" s="81">
        <f t="shared" si="406"/>
        <v>55283.31</v>
      </c>
      <c r="G1027" s="81">
        <f t="shared" si="406"/>
        <v>0</v>
      </c>
      <c r="H1027" s="82"/>
      <c r="I1027" s="83"/>
      <c r="J1027" s="83"/>
      <c r="K1027" s="84"/>
      <c r="L1027" s="81">
        <f t="shared" ref="L1027:P1027" si="407">L1028+L1029+L1030+L1031+L1032+L1033+L1034+L1035+L1040+L1041+L1042+L1043+L1044+L1045+L1046+L1047</f>
        <v>0</v>
      </c>
      <c r="M1027" s="81">
        <f t="shared" si="407"/>
        <v>1584907.3000000003</v>
      </c>
      <c r="N1027" s="81">
        <f t="shared" si="407"/>
        <v>0</v>
      </c>
      <c r="O1027" s="81">
        <f t="shared" si="407"/>
        <v>0</v>
      </c>
      <c r="P1027" s="81">
        <f t="shared" si="407"/>
        <v>0</v>
      </c>
    </row>
    <row r="1028" spans="1:16" s="5" customFormat="1">
      <c r="A1028" s="22"/>
      <c r="B1028" s="23" t="s">
        <v>20</v>
      </c>
      <c r="C1028" s="24">
        <f t="shared" ref="C1028:C1034" si="408">E1028+F1028+G1028</f>
        <v>0</v>
      </c>
      <c r="D1028" s="25"/>
      <c r="E1028" s="25"/>
      <c r="F1028" s="25"/>
      <c r="G1028" s="25"/>
      <c r="H1028" s="26"/>
      <c r="I1028" s="24"/>
      <c r="J1028" s="24"/>
      <c r="K1028" s="27"/>
      <c r="L1028" s="24">
        <f t="shared" ref="L1028:L1034" si="409">N1028+O1028+P1028</f>
        <v>0</v>
      </c>
      <c r="M1028" s="25"/>
      <c r="N1028" s="25"/>
      <c r="O1028" s="25"/>
      <c r="P1028" s="25"/>
    </row>
    <row r="1029" spans="1:16" s="1" customFormat="1">
      <c r="A1029" s="28"/>
      <c r="B1029" s="29" t="s">
        <v>21</v>
      </c>
      <c r="C1029" s="24">
        <f t="shared" si="408"/>
        <v>39274.11</v>
      </c>
      <c r="D1029" s="30">
        <v>39274.11</v>
      </c>
      <c r="E1029" s="30"/>
      <c r="F1029" s="30">
        <v>39274.11</v>
      </c>
      <c r="G1029" s="30"/>
      <c r="H1029" s="31"/>
      <c r="I1029" s="31"/>
      <c r="J1029" s="31"/>
      <c r="K1029" s="31"/>
      <c r="L1029" s="24">
        <f t="shared" si="409"/>
        <v>0</v>
      </c>
      <c r="M1029" s="30">
        <v>39274.11</v>
      </c>
      <c r="N1029" s="30"/>
      <c r="O1029" s="30"/>
      <c r="P1029" s="30"/>
    </row>
    <row r="1030" spans="1:16" s="1" customFormat="1">
      <c r="A1030" s="28"/>
      <c r="B1030" s="32" t="s">
        <v>22</v>
      </c>
      <c r="C1030" s="24">
        <f t="shared" si="408"/>
        <v>0</v>
      </c>
      <c r="D1030" s="30"/>
      <c r="E1030" s="30"/>
      <c r="F1030" s="30"/>
      <c r="G1030" s="30"/>
      <c r="H1030" s="31"/>
      <c r="I1030" s="31"/>
      <c r="J1030" s="31"/>
      <c r="K1030" s="31"/>
      <c r="L1030" s="24">
        <f t="shared" si="409"/>
        <v>0</v>
      </c>
      <c r="M1030" s="30"/>
      <c r="N1030" s="30"/>
      <c r="O1030" s="30"/>
      <c r="P1030" s="30"/>
    </row>
    <row r="1031" spans="1:16" s="1" customFormat="1">
      <c r="A1031" s="28"/>
      <c r="B1031" s="32" t="s">
        <v>23</v>
      </c>
      <c r="C1031" s="24">
        <f t="shared" si="408"/>
        <v>0</v>
      </c>
      <c r="D1031" s="30"/>
      <c r="E1031" s="30"/>
      <c r="F1031" s="30"/>
      <c r="G1031" s="30"/>
      <c r="H1031" s="31"/>
      <c r="I1031" s="31"/>
      <c r="J1031" s="31"/>
      <c r="K1031" s="31"/>
      <c r="L1031" s="24">
        <f t="shared" si="409"/>
        <v>0</v>
      </c>
      <c r="M1031" s="30"/>
      <c r="N1031" s="30"/>
      <c r="O1031" s="30"/>
      <c r="P1031" s="30"/>
    </row>
    <row r="1032" spans="1:16" s="1" customFormat="1">
      <c r="A1032" s="28"/>
      <c r="B1032" s="29" t="s">
        <v>24</v>
      </c>
      <c r="C1032" s="24">
        <f t="shared" si="408"/>
        <v>432380.67</v>
      </c>
      <c r="D1032" s="30">
        <f>16402.52+7256</f>
        <v>23658.52</v>
      </c>
      <c r="E1032" s="30">
        <f>416371.47</f>
        <v>416371.47</v>
      </c>
      <c r="F1032" s="30">
        <v>16009.2</v>
      </c>
      <c r="G1032" s="30"/>
      <c r="H1032" s="31"/>
      <c r="I1032" s="31"/>
      <c r="J1032" s="31"/>
      <c r="K1032" s="31"/>
      <c r="L1032" s="24">
        <f t="shared" si="409"/>
        <v>0</v>
      </c>
      <c r="M1032" s="30">
        <f>16402.52+7256</f>
        <v>23658.52</v>
      </c>
      <c r="N1032" s="30"/>
      <c r="O1032" s="30"/>
      <c r="P1032" s="30"/>
    </row>
    <row r="1033" spans="1:16" s="1" customFormat="1">
      <c r="A1033" s="28"/>
      <c r="B1033" s="34" t="s">
        <v>25</v>
      </c>
      <c r="C1033" s="24">
        <f t="shared" si="408"/>
        <v>19317.150000000001</v>
      </c>
      <c r="D1033" s="30">
        <v>45074.559999999998</v>
      </c>
      <c r="E1033" s="30">
        <v>19317.150000000001</v>
      </c>
      <c r="F1033" s="30"/>
      <c r="G1033" s="30"/>
      <c r="H1033" s="31"/>
      <c r="I1033" s="31"/>
      <c r="J1033" s="31"/>
      <c r="K1033" s="31"/>
      <c r="L1033" s="24">
        <f t="shared" si="409"/>
        <v>0</v>
      </c>
      <c r="M1033" s="30">
        <v>45074.559999999998</v>
      </c>
      <c r="N1033" s="30"/>
      <c r="O1033" s="30"/>
      <c r="P1033" s="30"/>
    </row>
    <row r="1034" spans="1:16" s="1" customFormat="1">
      <c r="A1034" s="28"/>
      <c r="B1034" s="32" t="s">
        <v>26</v>
      </c>
      <c r="C1034" s="24">
        <f t="shared" si="408"/>
        <v>0</v>
      </c>
      <c r="D1034" s="30"/>
      <c r="E1034" s="30"/>
      <c r="F1034" s="30"/>
      <c r="G1034" s="30"/>
      <c r="H1034" s="31"/>
      <c r="I1034" s="31"/>
      <c r="J1034" s="31"/>
      <c r="K1034" s="31"/>
      <c r="L1034" s="24">
        <f t="shared" si="409"/>
        <v>0</v>
      </c>
      <c r="M1034" s="30"/>
      <c r="N1034" s="30"/>
      <c r="O1034" s="30"/>
      <c r="P1034" s="30"/>
    </row>
    <row r="1035" spans="1:16" s="1" customFormat="1" ht="30">
      <c r="A1035" s="28"/>
      <c r="B1035" s="35" t="s">
        <v>27</v>
      </c>
      <c r="C1035" s="36">
        <f t="shared" ref="C1035:G1035" si="410">SUM(C1036:C1039)</f>
        <v>216359.97</v>
      </c>
      <c r="D1035" s="36">
        <f t="shared" si="410"/>
        <v>211109.99000000002</v>
      </c>
      <c r="E1035" s="36">
        <f t="shared" si="410"/>
        <v>216359.97</v>
      </c>
      <c r="F1035" s="36">
        <f t="shared" si="410"/>
        <v>0</v>
      </c>
      <c r="G1035" s="36">
        <f t="shared" si="410"/>
        <v>0</v>
      </c>
      <c r="H1035" s="31"/>
      <c r="I1035" s="31"/>
      <c r="J1035" s="31"/>
      <c r="K1035" s="31"/>
      <c r="L1035" s="36">
        <f t="shared" ref="L1035:P1035" si="411">SUM(L1036:L1039)</f>
        <v>0</v>
      </c>
      <c r="M1035" s="36">
        <f t="shared" si="411"/>
        <v>211109.99000000002</v>
      </c>
      <c r="N1035" s="36">
        <f t="shared" si="411"/>
        <v>0</v>
      </c>
      <c r="O1035" s="36">
        <f t="shared" si="411"/>
        <v>0</v>
      </c>
      <c r="P1035" s="36">
        <f t="shared" si="411"/>
        <v>0</v>
      </c>
    </row>
    <row r="1036" spans="1:16" s="1" customFormat="1">
      <c r="A1036" s="28"/>
      <c r="B1036" s="38" t="s">
        <v>28</v>
      </c>
      <c r="C1036" s="24">
        <f t="shared" ref="C1036:C1046" si="412">E1036+F1036+G1036</f>
        <v>216359.97</v>
      </c>
      <c r="D1036" s="30">
        <v>61660.19</v>
      </c>
      <c r="E1036" s="30">
        <v>216359.97</v>
      </c>
      <c r="F1036" s="30"/>
      <c r="G1036" s="30"/>
      <c r="H1036" s="31"/>
      <c r="I1036" s="31"/>
      <c r="J1036" s="31"/>
      <c r="K1036" s="31"/>
      <c r="L1036" s="24">
        <f t="shared" ref="L1036:L1046" si="413">N1036+O1036+P1036</f>
        <v>0</v>
      </c>
      <c r="M1036" s="30">
        <v>61660.19</v>
      </c>
      <c r="N1036" s="30"/>
      <c r="O1036" s="30"/>
      <c r="P1036" s="30"/>
    </row>
    <row r="1037" spans="1:16" s="1" customFormat="1">
      <c r="A1037" s="28"/>
      <c r="B1037" s="38" t="s">
        <v>29</v>
      </c>
      <c r="C1037" s="24">
        <f t="shared" si="412"/>
        <v>0</v>
      </c>
      <c r="D1037" s="30"/>
      <c r="E1037" s="30"/>
      <c r="F1037" s="30"/>
      <c r="G1037" s="30"/>
      <c r="H1037" s="31"/>
      <c r="I1037" s="31"/>
      <c r="J1037" s="31"/>
      <c r="K1037" s="31"/>
      <c r="L1037" s="24">
        <f t="shared" si="413"/>
        <v>0</v>
      </c>
      <c r="M1037" s="30"/>
      <c r="N1037" s="30"/>
      <c r="O1037" s="30"/>
      <c r="P1037" s="30"/>
    </row>
    <row r="1038" spans="1:16" s="1" customFormat="1">
      <c r="A1038" s="28"/>
      <c r="B1038" s="38" t="s">
        <v>30</v>
      </c>
      <c r="C1038" s="24">
        <f t="shared" si="412"/>
        <v>0</v>
      </c>
      <c r="D1038" s="30">
        <f>112289.32+37160.48</f>
        <v>149449.80000000002</v>
      </c>
      <c r="E1038" s="30"/>
      <c r="F1038" s="30"/>
      <c r="G1038" s="30"/>
      <c r="H1038" s="31"/>
      <c r="I1038" s="31"/>
      <c r="J1038" s="31"/>
      <c r="K1038" s="31"/>
      <c r="L1038" s="24">
        <f t="shared" si="413"/>
        <v>0</v>
      </c>
      <c r="M1038" s="30">
        <f>112289.32+37160.48</f>
        <v>149449.80000000002</v>
      </c>
      <c r="N1038" s="30"/>
      <c r="O1038" s="30"/>
      <c r="P1038" s="30"/>
    </row>
    <row r="1039" spans="1:16" s="1" customFormat="1">
      <c r="A1039" s="28"/>
      <c r="B1039" s="38" t="s">
        <v>31</v>
      </c>
      <c r="C1039" s="24">
        <f t="shared" si="412"/>
        <v>0</v>
      </c>
      <c r="D1039" s="30"/>
      <c r="E1039" s="30"/>
      <c r="F1039" s="30"/>
      <c r="G1039" s="30"/>
      <c r="H1039" s="31"/>
      <c r="I1039" s="31"/>
      <c r="J1039" s="31"/>
      <c r="K1039" s="31"/>
      <c r="L1039" s="24">
        <f t="shared" si="413"/>
        <v>0</v>
      </c>
      <c r="M1039" s="30"/>
      <c r="N1039" s="30"/>
      <c r="O1039" s="30"/>
      <c r="P1039" s="30"/>
    </row>
    <row r="1040" spans="1:16" s="1" customFormat="1" ht="30">
      <c r="A1040" s="28"/>
      <c r="B1040" s="39" t="s">
        <v>32</v>
      </c>
      <c r="C1040" s="24">
        <f t="shared" si="412"/>
        <v>0</v>
      </c>
      <c r="D1040" s="30"/>
      <c r="E1040" s="30"/>
      <c r="F1040" s="30"/>
      <c r="G1040" s="30"/>
      <c r="H1040" s="31"/>
      <c r="I1040" s="31"/>
      <c r="J1040" s="31"/>
      <c r="K1040" s="31"/>
      <c r="L1040" s="24">
        <f t="shared" si="413"/>
        <v>0</v>
      </c>
      <c r="M1040" s="30"/>
      <c r="N1040" s="30"/>
      <c r="O1040" s="30"/>
      <c r="P1040" s="30"/>
    </row>
    <row r="1041" spans="1:16" s="1" customFormat="1" ht="30">
      <c r="A1041" s="28"/>
      <c r="B1041" s="39" t="s">
        <v>33</v>
      </c>
      <c r="C1041" s="24">
        <f t="shared" si="412"/>
        <v>50033.51</v>
      </c>
      <c r="D1041" s="30">
        <v>2512</v>
      </c>
      <c r="E1041" s="30">
        <f>36463.55+10591+2978.96</f>
        <v>50033.51</v>
      </c>
      <c r="F1041" s="30"/>
      <c r="G1041" s="30"/>
      <c r="H1041" s="31"/>
      <c r="I1041" s="31"/>
      <c r="J1041" s="31"/>
      <c r="K1041" s="31"/>
      <c r="L1041" s="24">
        <f t="shared" si="413"/>
        <v>0</v>
      </c>
      <c r="M1041" s="30">
        <v>2512</v>
      </c>
      <c r="N1041" s="30"/>
      <c r="O1041" s="30"/>
      <c r="P1041" s="30"/>
    </row>
    <row r="1042" spans="1:16" s="1" customFormat="1" ht="30">
      <c r="A1042" s="28"/>
      <c r="B1042" s="40" t="s">
        <v>34</v>
      </c>
      <c r="C1042" s="24">
        <f t="shared" si="412"/>
        <v>0</v>
      </c>
      <c r="D1042" s="30"/>
      <c r="E1042" s="30"/>
      <c r="F1042" s="30"/>
      <c r="G1042" s="30"/>
      <c r="H1042" s="31"/>
      <c r="I1042" s="31"/>
      <c r="J1042" s="31"/>
      <c r="K1042" s="31"/>
      <c r="L1042" s="24">
        <f t="shared" si="413"/>
        <v>0</v>
      </c>
      <c r="M1042" s="30"/>
      <c r="N1042" s="30"/>
      <c r="O1042" s="30"/>
      <c r="P1042" s="30"/>
    </row>
    <row r="1043" spans="1:16" s="1" customFormat="1">
      <c r="A1043" s="28"/>
      <c r="B1043" s="40" t="s">
        <v>35</v>
      </c>
      <c r="C1043" s="24">
        <f t="shared" si="412"/>
        <v>0</v>
      </c>
      <c r="D1043" s="30"/>
      <c r="E1043" s="30"/>
      <c r="F1043" s="30"/>
      <c r="G1043" s="30"/>
      <c r="H1043" s="31"/>
      <c r="I1043" s="31"/>
      <c r="J1043" s="31"/>
      <c r="K1043" s="31"/>
      <c r="L1043" s="24">
        <f t="shared" si="413"/>
        <v>0</v>
      </c>
      <c r="M1043" s="30"/>
      <c r="N1043" s="30"/>
      <c r="O1043" s="30"/>
      <c r="P1043" s="30"/>
    </row>
    <row r="1044" spans="1:16" s="1" customFormat="1" ht="30">
      <c r="A1044" s="28"/>
      <c r="B1044" s="41" t="s">
        <v>36</v>
      </c>
      <c r="C1044" s="24">
        <f t="shared" si="412"/>
        <v>0</v>
      </c>
      <c r="D1044" s="30"/>
      <c r="E1044" s="30"/>
      <c r="F1044" s="30"/>
      <c r="G1044" s="30"/>
      <c r="H1044" s="31"/>
      <c r="I1044" s="31"/>
      <c r="J1044" s="31"/>
      <c r="K1044" s="31"/>
      <c r="L1044" s="24">
        <f t="shared" si="413"/>
        <v>0</v>
      </c>
      <c r="M1044" s="30"/>
      <c r="N1044" s="30"/>
      <c r="O1044" s="30"/>
      <c r="P1044" s="30"/>
    </row>
    <row r="1045" spans="1:16" s="1" customFormat="1">
      <c r="A1045" s="28"/>
      <c r="B1045" s="42" t="s">
        <v>37</v>
      </c>
      <c r="C1045" s="24">
        <f t="shared" si="412"/>
        <v>0</v>
      </c>
      <c r="D1045" s="30"/>
      <c r="E1045" s="30"/>
      <c r="F1045" s="30"/>
      <c r="G1045" s="30"/>
      <c r="H1045" s="31"/>
      <c r="I1045" s="31"/>
      <c r="J1045" s="31"/>
      <c r="K1045" s="31"/>
      <c r="L1045" s="24">
        <f t="shared" si="413"/>
        <v>0</v>
      </c>
      <c r="M1045" s="30"/>
      <c r="N1045" s="30"/>
      <c r="O1045" s="30"/>
      <c r="P1045" s="30"/>
    </row>
    <row r="1046" spans="1:16" s="1" customFormat="1" ht="30">
      <c r="A1046" s="28"/>
      <c r="B1046" s="42" t="s">
        <v>38</v>
      </c>
      <c r="C1046" s="24">
        <f t="shared" si="412"/>
        <v>0</v>
      </c>
      <c r="D1046" s="30">
        <f>80100+944954.12+84700+92022+17150+44352</f>
        <v>1263278.1200000001</v>
      </c>
      <c r="E1046" s="30"/>
      <c r="F1046" s="30"/>
      <c r="G1046" s="30"/>
      <c r="H1046" s="31"/>
      <c r="I1046" s="31"/>
      <c r="J1046" s="31"/>
      <c r="K1046" s="31"/>
      <c r="L1046" s="24">
        <f t="shared" si="413"/>
        <v>0</v>
      </c>
      <c r="M1046" s="30">
        <f>80100+944954.12+84700+92022+17150+44352</f>
        <v>1263278.1200000001</v>
      </c>
      <c r="N1046" s="30"/>
      <c r="O1046" s="30"/>
      <c r="P1046" s="30"/>
    </row>
    <row r="1047" spans="1:16" s="1" customFormat="1" ht="30">
      <c r="A1047" s="28"/>
      <c r="B1047" s="43" t="s">
        <v>39</v>
      </c>
      <c r="C1047" s="36">
        <f t="shared" ref="C1047:G1047" si="414">SUM(C1048:C1054)</f>
        <v>0</v>
      </c>
      <c r="D1047" s="36">
        <f t="shared" si="414"/>
        <v>0</v>
      </c>
      <c r="E1047" s="36">
        <f t="shared" si="414"/>
        <v>0</v>
      </c>
      <c r="F1047" s="36">
        <f t="shared" si="414"/>
        <v>0</v>
      </c>
      <c r="G1047" s="36">
        <f t="shared" si="414"/>
        <v>0</v>
      </c>
      <c r="H1047" s="31"/>
      <c r="I1047" s="31"/>
      <c r="J1047" s="31"/>
      <c r="K1047" s="31"/>
      <c r="L1047" s="36">
        <f t="shared" ref="L1047:P1047" si="415">SUM(L1048:L1054)</f>
        <v>0</v>
      </c>
      <c r="M1047" s="36">
        <f t="shared" si="415"/>
        <v>0</v>
      </c>
      <c r="N1047" s="36">
        <f t="shared" si="415"/>
        <v>0</v>
      </c>
      <c r="O1047" s="36">
        <f t="shared" si="415"/>
        <v>0</v>
      </c>
      <c r="P1047" s="36">
        <f t="shared" si="415"/>
        <v>0</v>
      </c>
    </row>
    <row r="1048" spans="1:16" s="1" customFormat="1" ht="30">
      <c r="A1048" s="28" t="s">
        <v>40</v>
      </c>
      <c r="B1048" s="39" t="s">
        <v>41</v>
      </c>
      <c r="C1048" s="24">
        <f t="shared" ref="C1048:C1054" si="416">E1048+F1048+G1048</f>
        <v>0</v>
      </c>
      <c r="D1048" s="30"/>
      <c r="E1048" s="30"/>
      <c r="F1048" s="30"/>
      <c r="G1048" s="30"/>
      <c r="H1048" s="31"/>
      <c r="I1048" s="31"/>
      <c r="J1048" s="31"/>
      <c r="K1048" s="31"/>
      <c r="L1048" s="24">
        <f t="shared" ref="L1048:L1054" si="417">N1048+O1048+P1048</f>
        <v>0</v>
      </c>
      <c r="M1048" s="30"/>
      <c r="N1048" s="30"/>
      <c r="O1048" s="30"/>
      <c r="P1048" s="30"/>
    </row>
    <row r="1049" spans="1:16" s="1" customFormat="1">
      <c r="A1049" s="28"/>
      <c r="B1049" s="39" t="s">
        <v>42</v>
      </c>
      <c r="C1049" s="24">
        <f t="shared" si="416"/>
        <v>0</v>
      </c>
      <c r="D1049" s="30"/>
      <c r="E1049" s="30"/>
      <c r="F1049" s="30"/>
      <c r="G1049" s="30"/>
      <c r="H1049" s="31"/>
      <c r="I1049" s="31"/>
      <c r="J1049" s="31"/>
      <c r="K1049" s="31"/>
      <c r="L1049" s="24">
        <f t="shared" si="417"/>
        <v>0</v>
      </c>
      <c r="M1049" s="30"/>
      <c r="N1049" s="30"/>
      <c r="O1049" s="30"/>
      <c r="P1049" s="30"/>
    </row>
    <row r="1050" spans="1:16" s="1" customFormat="1">
      <c r="A1050" s="28"/>
      <c r="B1050" s="39" t="s">
        <v>43</v>
      </c>
      <c r="C1050" s="24">
        <f t="shared" si="416"/>
        <v>0</v>
      </c>
      <c r="D1050" s="30"/>
      <c r="E1050" s="30"/>
      <c r="F1050" s="30"/>
      <c r="G1050" s="30"/>
      <c r="H1050" s="31"/>
      <c r="I1050" s="31"/>
      <c r="J1050" s="31"/>
      <c r="K1050" s="31"/>
      <c r="L1050" s="24">
        <f t="shared" si="417"/>
        <v>0</v>
      </c>
      <c r="M1050" s="30"/>
      <c r="N1050" s="30"/>
      <c r="O1050" s="30"/>
      <c r="P1050" s="30"/>
    </row>
    <row r="1051" spans="1:16" s="1" customFormat="1">
      <c r="A1051" s="28"/>
      <c r="B1051" s="39" t="s">
        <v>44</v>
      </c>
      <c r="C1051" s="24">
        <f t="shared" si="416"/>
        <v>0</v>
      </c>
      <c r="D1051" s="30"/>
      <c r="E1051" s="30"/>
      <c r="F1051" s="30"/>
      <c r="G1051" s="30"/>
      <c r="H1051" s="31"/>
      <c r="I1051" s="31"/>
      <c r="J1051" s="31"/>
      <c r="K1051" s="31"/>
      <c r="L1051" s="24">
        <f t="shared" si="417"/>
        <v>0</v>
      </c>
      <c r="M1051" s="30"/>
      <c r="N1051" s="30"/>
      <c r="O1051" s="30"/>
      <c r="P1051" s="30"/>
    </row>
    <row r="1052" spans="1:16" s="1" customFormat="1">
      <c r="A1052" s="28"/>
      <c r="B1052" s="39" t="s">
        <v>45</v>
      </c>
      <c r="C1052" s="24">
        <f t="shared" si="416"/>
        <v>0</v>
      </c>
      <c r="D1052" s="30"/>
      <c r="E1052" s="30"/>
      <c r="F1052" s="30"/>
      <c r="G1052" s="30"/>
      <c r="H1052" s="31"/>
      <c r="I1052" s="31"/>
      <c r="J1052" s="31"/>
      <c r="K1052" s="31"/>
      <c r="L1052" s="24">
        <f t="shared" si="417"/>
        <v>0</v>
      </c>
      <c r="M1052" s="30"/>
      <c r="N1052" s="30"/>
      <c r="O1052" s="30"/>
      <c r="P1052" s="30"/>
    </row>
    <row r="1053" spans="1:16" s="1" customFormat="1" ht="30">
      <c r="A1053" s="28"/>
      <c r="B1053" s="39" t="s">
        <v>46</v>
      </c>
      <c r="C1053" s="24">
        <f t="shared" si="416"/>
        <v>0</v>
      </c>
      <c r="D1053" s="30"/>
      <c r="E1053" s="30"/>
      <c r="F1053" s="30"/>
      <c r="G1053" s="30"/>
      <c r="H1053" s="31"/>
      <c r="I1053" s="31"/>
      <c r="J1053" s="31"/>
      <c r="K1053" s="31"/>
      <c r="L1053" s="24">
        <f t="shared" si="417"/>
        <v>0</v>
      </c>
      <c r="M1053" s="30"/>
      <c r="N1053" s="30"/>
      <c r="O1053" s="30"/>
      <c r="P1053" s="30"/>
    </row>
    <row r="1054" spans="1:16" s="1" customFormat="1">
      <c r="A1054" s="28"/>
      <c r="B1054" s="39" t="s">
        <v>47</v>
      </c>
      <c r="C1054" s="24">
        <f t="shared" si="416"/>
        <v>0</v>
      </c>
      <c r="D1054" s="30"/>
      <c r="E1054" s="30"/>
      <c r="F1054" s="30"/>
      <c r="G1054" s="30"/>
      <c r="H1054" s="31"/>
      <c r="I1054" s="31"/>
      <c r="J1054" s="31"/>
      <c r="K1054" s="31"/>
      <c r="L1054" s="24">
        <f t="shared" si="417"/>
        <v>0</v>
      </c>
      <c r="M1054" s="30"/>
      <c r="N1054" s="30"/>
      <c r="O1054" s="30"/>
      <c r="P1054" s="30"/>
    </row>
    <row r="1055" spans="1:16" s="1" customFormat="1" ht="36.75" customHeight="1">
      <c r="A1055" s="211" t="s">
        <v>3</v>
      </c>
      <c r="B1055" s="213" t="s">
        <v>4</v>
      </c>
      <c r="C1055" s="213" t="s">
        <v>5</v>
      </c>
      <c r="D1055" s="10" t="s">
        <v>6</v>
      </c>
      <c r="E1055" s="215" t="s">
        <v>7</v>
      </c>
      <c r="F1055" s="216"/>
      <c r="G1055" s="217"/>
      <c r="H1055" s="218" t="s">
        <v>8</v>
      </c>
      <c r="I1055" s="218"/>
      <c r="J1055" s="218"/>
      <c r="K1055" s="11"/>
      <c r="L1055" s="219" t="s">
        <v>9</v>
      </c>
      <c r="M1055" s="12" t="s">
        <v>6</v>
      </c>
      <c r="N1055" s="208" t="s">
        <v>10</v>
      </c>
      <c r="O1055" s="209"/>
      <c r="P1055" s="210"/>
    </row>
    <row r="1056" spans="1:16" s="1" customFormat="1" ht="47.25" customHeight="1">
      <c r="A1056" s="212"/>
      <c r="B1056" s="214"/>
      <c r="C1056" s="214"/>
      <c r="D1056" s="13" t="s">
        <v>11</v>
      </c>
      <c r="E1056" s="13" t="s">
        <v>12</v>
      </c>
      <c r="F1056" s="13" t="s">
        <v>13</v>
      </c>
      <c r="G1056" s="13" t="s">
        <v>14</v>
      </c>
      <c r="H1056" s="14" t="s">
        <v>15</v>
      </c>
      <c r="I1056" s="14" t="s">
        <v>16</v>
      </c>
      <c r="J1056" s="14" t="s">
        <v>17</v>
      </c>
      <c r="K1056" s="14" t="s">
        <v>18</v>
      </c>
      <c r="L1056" s="220"/>
      <c r="M1056" s="15" t="s">
        <v>11</v>
      </c>
      <c r="N1056" s="15" t="s">
        <v>12</v>
      </c>
      <c r="O1056" s="15" t="s">
        <v>13</v>
      </c>
      <c r="P1056" s="15" t="s">
        <v>14</v>
      </c>
    </row>
    <row r="1057" spans="1:16" s="1" customFormat="1">
      <c r="A1057" s="80">
        <v>14</v>
      </c>
      <c r="B1057" s="17" t="s">
        <v>83</v>
      </c>
      <c r="C1057" s="81">
        <f t="shared" ref="C1057:G1057" si="418">C1058+C1059+C1060+C1061+C1062+C1063+C1064+C1065+C1070+C1071+C1072+C1073+C1074+C1075+C1076+C1077</f>
        <v>432681.74</v>
      </c>
      <c r="D1057" s="81">
        <f t="shared" si="418"/>
        <v>176783.69999999998</v>
      </c>
      <c r="E1057" s="81">
        <f t="shared" si="418"/>
        <v>420563.18</v>
      </c>
      <c r="F1057" s="81">
        <f t="shared" si="418"/>
        <v>0</v>
      </c>
      <c r="G1057" s="81">
        <f t="shared" si="418"/>
        <v>12118.56</v>
      </c>
      <c r="H1057" s="82"/>
      <c r="I1057" s="83"/>
      <c r="J1057" s="83"/>
      <c r="K1057" s="84"/>
      <c r="L1057" s="81">
        <f t="shared" ref="L1057:P1057" si="419">L1058+L1059+L1060+L1061+L1062+L1063+L1064+L1065+L1070+L1071+L1072+L1073+L1074+L1075+L1076+L1077</f>
        <v>0</v>
      </c>
      <c r="M1057" s="81">
        <f t="shared" si="419"/>
        <v>176783.69999999998</v>
      </c>
      <c r="N1057" s="81">
        <f t="shared" si="419"/>
        <v>0</v>
      </c>
      <c r="O1057" s="81">
        <f t="shared" si="419"/>
        <v>0</v>
      </c>
      <c r="P1057" s="81">
        <f t="shared" si="419"/>
        <v>0</v>
      </c>
    </row>
    <row r="1058" spans="1:16" s="5" customFormat="1">
      <c r="A1058" s="22"/>
      <c r="B1058" s="23" t="s">
        <v>20</v>
      </c>
      <c r="C1058" s="24">
        <f t="shared" ref="C1058:C1064" si="420">E1058+F1058+G1058</f>
        <v>12118.56</v>
      </c>
      <c r="D1058" s="25"/>
      <c r="E1058" s="25"/>
      <c r="F1058" s="25"/>
      <c r="G1058" s="25">
        <v>12118.56</v>
      </c>
      <c r="H1058" s="26"/>
      <c r="I1058" s="24"/>
      <c r="J1058" s="24"/>
      <c r="K1058" s="27"/>
      <c r="L1058" s="24">
        <f t="shared" ref="L1058:L1064" si="421">N1058+O1058+P1058</f>
        <v>0</v>
      </c>
      <c r="M1058" s="25"/>
      <c r="N1058" s="25"/>
      <c r="O1058" s="25"/>
      <c r="P1058" s="25"/>
    </row>
    <row r="1059" spans="1:16" s="1" customFormat="1">
      <c r="A1059" s="28"/>
      <c r="B1059" s="29" t="s">
        <v>21</v>
      </c>
      <c r="C1059" s="24">
        <f t="shared" si="420"/>
        <v>221898</v>
      </c>
      <c r="D1059" s="30">
        <v>36402.85</v>
      </c>
      <c r="E1059" s="30">
        <v>221898</v>
      </c>
      <c r="F1059" s="30"/>
      <c r="G1059" s="30"/>
      <c r="H1059" s="31"/>
      <c r="I1059" s="31"/>
      <c r="J1059" s="31"/>
      <c r="K1059" s="31"/>
      <c r="L1059" s="24">
        <f t="shared" si="421"/>
        <v>0</v>
      </c>
      <c r="M1059" s="30">
        <v>36402.85</v>
      </c>
      <c r="N1059" s="30"/>
      <c r="O1059" s="30"/>
      <c r="P1059" s="30"/>
    </row>
    <row r="1060" spans="1:16" s="1" customFormat="1">
      <c r="A1060" s="28"/>
      <c r="B1060" s="32" t="s">
        <v>22</v>
      </c>
      <c r="C1060" s="24">
        <f t="shared" si="420"/>
        <v>0</v>
      </c>
      <c r="D1060" s="30"/>
      <c r="E1060" s="30"/>
      <c r="F1060" s="30"/>
      <c r="G1060" s="30"/>
      <c r="H1060" s="31"/>
      <c r="I1060" s="31"/>
      <c r="J1060" s="31"/>
      <c r="K1060" s="31"/>
      <c r="L1060" s="24">
        <f t="shared" si="421"/>
        <v>0</v>
      </c>
      <c r="M1060" s="30"/>
      <c r="N1060" s="30"/>
      <c r="O1060" s="30"/>
      <c r="P1060" s="30"/>
    </row>
    <row r="1061" spans="1:16" s="1" customFormat="1">
      <c r="A1061" s="28"/>
      <c r="B1061" s="32" t="s">
        <v>23</v>
      </c>
      <c r="C1061" s="24">
        <f t="shared" si="420"/>
        <v>74102</v>
      </c>
      <c r="D1061" s="30"/>
      <c r="E1061" s="30">
        <v>74102</v>
      </c>
      <c r="F1061" s="30"/>
      <c r="G1061" s="30"/>
      <c r="H1061" s="31"/>
      <c r="I1061" s="31"/>
      <c r="J1061" s="31"/>
      <c r="K1061" s="31"/>
      <c r="L1061" s="24">
        <f t="shared" si="421"/>
        <v>0</v>
      </c>
      <c r="M1061" s="30"/>
      <c r="N1061" s="30"/>
      <c r="O1061" s="30"/>
      <c r="P1061" s="30"/>
    </row>
    <row r="1062" spans="1:16" s="1" customFormat="1">
      <c r="A1062" s="28"/>
      <c r="B1062" s="29" t="s">
        <v>24</v>
      </c>
      <c r="C1062" s="24">
        <f t="shared" si="420"/>
        <v>0</v>
      </c>
      <c r="D1062" s="30"/>
      <c r="E1062" s="30"/>
      <c r="F1062" s="30"/>
      <c r="G1062" s="30"/>
      <c r="H1062" s="31"/>
      <c r="I1062" s="31"/>
      <c r="J1062" s="31"/>
      <c r="K1062" s="31"/>
      <c r="L1062" s="24">
        <f t="shared" si="421"/>
        <v>0</v>
      </c>
      <c r="M1062" s="30"/>
      <c r="N1062" s="30"/>
      <c r="O1062" s="30"/>
      <c r="P1062" s="30"/>
    </row>
    <row r="1063" spans="1:16" s="1" customFormat="1">
      <c r="A1063" s="28"/>
      <c r="B1063" s="34" t="s">
        <v>25</v>
      </c>
      <c r="C1063" s="24">
        <f t="shared" si="420"/>
        <v>0</v>
      </c>
      <c r="D1063" s="30">
        <v>30027.68</v>
      </c>
      <c r="E1063" s="30"/>
      <c r="F1063" s="30"/>
      <c r="G1063" s="30"/>
      <c r="H1063" s="31"/>
      <c r="I1063" s="31"/>
      <c r="J1063" s="31"/>
      <c r="K1063" s="31"/>
      <c r="L1063" s="24">
        <f t="shared" si="421"/>
        <v>0</v>
      </c>
      <c r="M1063" s="30">
        <v>30027.68</v>
      </c>
      <c r="N1063" s="30"/>
      <c r="O1063" s="30"/>
      <c r="P1063" s="30"/>
    </row>
    <row r="1064" spans="1:16" s="1" customFormat="1">
      <c r="A1064" s="28"/>
      <c r="B1064" s="32" t="s">
        <v>26</v>
      </c>
      <c r="C1064" s="24">
        <f t="shared" si="420"/>
        <v>0</v>
      </c>
      <c r="D1064" s="30"/>
      <c r="E1064" s="30"/>
      <c r="F1064" s="30"/>
      <c r="G1064" s="30"/>
      <c r="H1064" s="31"/>
      <c r="I1064" s="31"/>
      <c r="J1064" s="31"/>
      <c r="K1064" s="31"/>
      <c r="L1064" s="24">
        <f t="shared" si="421"/>
        <v>0</v>
      </c>
      <c r="M1064" s="30"/>
      <c r="N1064" s="30"/>
      <c r="O1064" s="30"/>
      <c r="P1064" s="30"/>
    </row>
    <row r="1065" spans="1:16" s="1" customFormat="1" ht="30">
      <c r="A1065" s="28"/>
      <c r="B1065" s="35" t="s">
        <v>27</v>
      </c>
      <c r="C1065" s="36">
        <f t="shared" ref="C1065:G1065" si="422">SUM(C1066:C1069)</f>
        <v>124563.18</v>
      </c>
      <c r="D1065" s="36">
        <f t="shared" si="422"/>
        <v>98711.679999999993</v>
      </c>
      <c r="E1065" s="36">
        <f t="shared" si="422"/>
        <v>124563.18</v>
      </c>
      <c r="F1065" s="36">
        <f t="shared" si="422"/>
        <v>0</v>
      </c>
      <c r="G1065" s="36">
        <f t="shared" si="422"/>
        <v>0</v>
      </c>
      <c r="H1065" s="31"/>
      <c r="I1065" s="31"/>
      <c r="J1065" s="31"/>
      <c r="K1065" s="31"/>
      <c r="L1065" s="36">
        <f t="shared" ref="L1065:P1065" si="423">SUM(L1066:L1069)</f>
        <v>0</v>
      </c>
      <c r="M1065" s="36">
        <f t="shared" si="423"/>
        <v>98711.679999999993</v>
      </c>
      <c r="N1065" s="36">
        <f t="shared" si="423"/>
        <v>0</v>
      </c>
      <c r="O1065" s="36">
        <f t="shared" si="423"/>
        <v>0</v>
      </c>
      <c r="P1065" s="36">
        <f t="shared" si="423"/>
        <v>0</v>
      </c>
    </row>
    <row r="1066" spans="1:16" s="1" customFormat="1">
      <c r="A1066" s="28"/>
      <c r="B1066" s="38" t="s">
        <v>28</v>
      </c>
      <c r="C1066" s="24">
        <f t="shared" ref="C1066:C1076" si="424">E1066+F1066+G1066</f>
        <v>124563.18</v>
      </c>
      <c r="D1066" s="30"/>
      <c r="E1066" s="30">
        <v>124563.18</v>
      </c>
      <c r="F1066" s="30"/>
      <c r="G1066" s="30"/>
      <c r="H1066" s="31"/>
      <c r="I1066" s="31"/>
      <c r="J1066" s="31"/>
      <c r="K1066" s="31"/>
      <c r="L1066" s="24">
        <f t="shared" ref="L1066:L1076" si="425">N1066+O1066+P1066</f>
        <v>0</v>
      </c>
      <c r="M1066" s="30"/>
      <c r="N1066" s="30"/>
      <c r="O1066" s="30"/>
      <c r="P1066" s="30"/>
    </row>
    <row r="1067" spans="1:16" s="1" customFormat="1">
      <c r="A1067" s="28"/>
      <c r="B1067" s="38" t="s">
        <v>29</v>
      </c>
      <c r="C1067" s="24">
        <f t="shared" si="424"/>
        <v>0</v>
      </c>
      <c r="D1067" s="30">
        <v>21254.9</v>
      </c>
      <c r="E1067" s="30"/>
      <c r="F1067" s="30"/>
      <c r="G1067" s="30"/>
      <c r="H1067" s="31"/>
      <c r="I1067" s="31"/>
      <c r="J1067" s="31"/>
      <c r="K1067" s="31"/>
      <c r="L1067" s="24">
        <f t="shared" si="425"/>
        <v>0</v>
      </c>
      <c r="M1067" s="30">
        <v>21254.9</v>
      </c>
      <c r="N1067" s="30"/>
      <c r="O1067" s="30"/>
      <c r="P1067" s="30"/>
    </row>
    <row r="1068" spans="1:16" s="1" customFormat="1">
      <c r="A1068" s="28"/>
      <c r="B1068" s="38" t="s">
        <v>30</v>
      </c>
      <c r="C1068" s="24">
        <f t="shared" si="424"/>
        <v>0</v>
      </c>
      <c r="D1068" s="30">
        <f>68236.32+8238.78</f>
        <v>76475.100000000006</v>
      </c>
      <c r="E1068" s="30"/>
      <c r="F1068" s="30"/>
      <c r="G1068" s="30"/>
      <c r="H1068" s="31"/>
      <c r="I1068" s="31"/>
      <c r="J1068" s="31"/>
      <c r="K1068" s="31"/>
      <c r="L1068" s="24">
        <f t="shared" si="425"/>
        <v>0</v>
      </c>
      <c r="M1068" s="30">
        <f>68236.32+8238.78</f>
        <v>76475.100000000006</v>
      </c>
      <c r="N1068" s="30"/>
      <c r="O1068" s="30"/>
      <c r="P1068" s="30"/>
    </row>
    <row r="1069" spans="1:16" s="1" customFormat="1">
      <c r="A1069" s="28"/>
      <c r="B1069" s="38" t="s">
        <v>31</v>
      </c>
      <c r="C1069" s="24">
        <f t="shared" si="424"/>
        <v>0</v>
      </c>
      <c r="D1069" s="30">
        <v>981.68</v>
      </c>
      <c r="E1069" s="30"/>
      <c r="F1069" s="30"/>
      <c r="G1069" s="30"/>
      <c r="H1069" s="31"/>
      <c r="I1069" s="31"/>
      <c r="J1069" s="31"/>
      <c r="K1069" s="31"/>
      <c r="L1069" s="24">
        <f t="shared" si="425"/>
        <v>0</v>
      </c>
      <c r="M1069" s="30">
        <v>981.68</v>
      </c>
      <c r="N1069" s="30"/>
      <c r="O1069" s="30"/>
      <c r="P1069" s="30"/>
    </row>
    <row r="1070" spans="1:16" s="1" customFormat="1" ht="30">
      <c r="A1070" s="28"/>
      <c r="B1070" s="39" t="s">
        <v>32</v>
      </c>
      <c r="C1070" s="24">
        <f t="shared" si="424"/>
        <v>0</v>
      </c>
      <c r="D1070" s="30"/>
      <c r="E1070" s="30"/>
      <c r="F1070" s="30"/>
      <c r="G1070" s="30"/>
      <c r="H1070" s="31"/>
      <c r="I1070" s="31"/>
      <c r="J1070" s="31"/>
      <c r="K1070" s="31"/>
      <c r="L1070" s="24">
        <f t="shared" si="425"/>
        <v>0</v>
      </c>
      <c r="M1070" s="30"/>
      <c r="N1070" s="30"/>
      <c r="O1070" s="30"/>
      <c r="P1070" s="30"/>
    </row>
    <row r="1071" spans="1:16" s="1" customFormat="1" ht="30">
      <c r="A1071" s="28"/>
      <c r="B1071" s="39" t="s">
        <v>33</v>
      </c>
      <c r="C1071" s="24">
        <f t="shared" si="424"/>
        <v>0</v>
      </c>
      <c r="D1071" s="30">
        <v>11264.44</v>
      </c>
      <c r="E1071" s="30"/>
      <c r="F1071" s="30"/>
      <c r="G1071" s="30"/>
      <c r="H1071" s="31"/>
      <c r="I1071" s="31"/>
      <c r="J1071" s="31"/>
      <c r="K1071" s="31"/>
      <c r="L1071" s="24">
        <f t="shared" si="425"/>
        <v>0</v>
      </c>
      <c r="M1071" s="30">
        <v>11264.44</v>
      </c>
      <c r="N1071" s="30"/>
      <c r="O1071" s="30"/>
      <c r="P1071" s="30"/>
    </row>
    <row r="1072" spans="1:16" s="1" customFormat="1" ht="30">
      <c r="A1072" s="28"/>
      <c r="B1072" s="40" t="s">
        <v>34</v>
      </c>
      <c r="C1072" s="24">
        <f t="shared" si="424"/>
        <v>0</v>
      </c>
      <c r="D1072" s="30"/>
      <c r="E1072" s="30"/>
      <c r="F1072" s="30"/>
      <c r="G1072" s="30"/>
      <c r="H1072" s="31"/>
      <c r="I1072" s="31"/>
      <c r="J1072" s="31"/>
      <c r="K1072" s="31"/>
      <c r="L1072" s="24">
        <f t="shared" si="425"/>
        <v>0</v>
      </c>
      <c r="M1072" s="30"/>
      <c r="N1072" s="30"/>
      <c r="O1072" s="30"/>
      <c r="P1072" s="30"/>
    </row>
    <row r="1073" spans="1:16" s="1" customFormat="1">
      <c r="A1073" s="28"/>
      <c r="B1073" s="40" t="s">
        <v>35</v>
      </c>
      <c r="C1073" s="24">
        <f t="shared" si="424"/>
        <v>0</v>
      </c>
      <c r="D1073" s="30">
        <v>377.05</v>
      </c>
      <c r="E1073" s="30"/>
      <c r="F1073" s="30"/>
      <c r="G1073" s="30"/>
      <c r="H1073" s="31"/>
      <c r="I1073" s="31"/>
      <c r="J1073" s="31"/>
      <c r="K1073" s="31"/>
      <c r="L1073" s="24">
        <f t="shared" si="425"/>
        <v>0</v>
      </c>
      <c r="M1073" s="30">
        <v>377.05</v>
      </c>
      <c r="N1073" s="30"/>
      <c r="O1073" s="30"/>
      <c r="P1073" s="30"/>
    </row>
    <row r="1074" spans="1:16" s="1" customFormat="1" ht="30">
      <c r="A1074" s="28"/>
      <c r="B1074" s="41" t="s">
        <v>36</v>
      </c>
      <c r="C1074" s="24">
        <f t="shared" si="424"/>
        <v>0</v>
      </c>
      <c r="D1074" s="30"/>
      <c r="E1074" s="30"/>
      <c r="F1074" s="30"/>
      <c r="G1074" s="30"/>
      <c r="H1074" s="31"/>
      <c r="I1074" s="31"/>
      <c r="J1074" s="31"/>
      <c r="K1074" s="31"/>
      <c r="L1074" s="24">
        <f t="shared" si="425"/>
        <v>0</v>
      </c>
      <c r="M1074" s="30"/>
      <c r="N1074" s="30"/>
      <c r="O1074" s="30"/>
      <c r="P1074" s="30"/>
    </row>
    <row r="1075" spans="1:16" s="1" customFormat="1">
      <c r="A1075" s="28"/>
      <c r="B1075" s="42" t="s">
        <v>37</v>
      </c>
      <c r="C1075" s="24">
        <f t="shared" si="424"/>
        <v>0</v>
      </c>
      <c r="D1075" s="30"/>
      <c r="E1075" s="30"/>
      <c r="F1075" s="30"/>
      <c r="G1075" s="30"/>
      <c r="H1075" s="31"/>
      <c r="I1075" s="31"/>
      <c r="J1075" s="31"/>
      <c r="K1075" s="31"/>
      <c r="L1075" s="24">
        <f t="shared" si="425"/>
        <v>0</v>
      </c>
      <c r="M1075" s="30"/>
      <c r="N1075" s="30"/>
      <c r="O1075" s="30"/>
      <c r="P1075" s="30"/>
    </row>
    <row r="1076" spans="1:16" s="1" customFormat="1" ht="30">
      <c r="A1076" s="28"/>
      <c r="B1076" s="42" t="s">
        <v>38</v>
      </c>
      <c r="C1076" s="24">
        <f t="shared" si="424"/>
        <v>0</v>
      </c>
      <c r="D1076" s="30"/>
      <c r="E1076" s="30"/>
      <c r="F1076" s="30"/>
      <c r="G1076" s="30"/>
      <c r="H1076" s="31"/>
      <c r="I1076" s="31"/>
      <c r="J1076" s="31"/>
      <c r="K1076" s="31"/>
      <c r="L1076" s="24">
        <f t="shared" si="425"/>
        <v>0</v>
      </c>
      <c r="M1076" s="30"/>
      <c r="N1076" s="30"/>
      <c r="O1076" s="30"/>
      <c r="P1076" s="30"/>
    </row>
    <row r="1077" spans="1:16" s="1" customFormat="1" ht="30">
      <c r="A1077" s="28"/>
      <c r="B1077" s="43" t="s">
        <v>39</v>
      </c>
      <c r="C1077" s="36">
        <f t="shared" ref="C1077:G1077" si="426">SUM(C1078:C1084)</f>
        <v>0</v>
      </c>
      <c r="D1077" s="36">
        <f t="shared" si="426"/>
        <v>0</v>
      </c>
      <c r="E1077" s="36">
        <f t="shared" si="426"/>
        <v>0</v>
      </c>
      <c r="F1077" s="36">
        <f t="shared" si="426"/>
        <v>0</v>
      </c>
      <c r="G1077" s="36">
        <f t="shared" si="426"/>
        <v>0</v>
      </c>
      <c r="H1077" s="31"/>
      <c r="I1077" s="31"/>
      <c r="J1077" s="31"/>
      <c r="K1077" s="31"/>
      <c r="L1077" s="36">
        <f t="shared" ref="L1077:P1077" si="427">SUM(L1078:L1084)</f>
        <v>0</v>
      </c>
      <c r="M1077" s="36">
        <f t="shared" si="427"/>
        <v>0</v>
      </c>
      <c r="N1077" s="36">
        <f t="shared" si="427"/>
        <v>0</v>
      </c>
      <c r="O1077" s="36">
        <f t="shared" si="427"/>
        <v>0</v>
      </c>
      <c r="P1077" s="36">
        <f t="shared" si="427"/>
        <v>0</v>
      </c>
    </row>
    <row r="1078" spans="1:16" s="1" customFormat="1" ht="30">
      <c r="A1078" s="28" t="s">
        <v>40</v>
      </c>
      <c r="B1078" s="39" t="s">
        <v>41</v>
      </c>
      <c r="C1078" s="24">
        <f t="shared" ref="C1078:C1084" si="428">E1078+F1078+G1078</f>
        <v>0</v>
      </c>
      <c r="D1078" s="30"/>
      <c r="E1078" s="30"/>
      <c r="F1078" s="30"/>
      <c r="G1078" s="30"/>
      <c r="H1078" s="31"/>
      <c r="I1078" s="31"/>
      <c r="J1078" s="31"/>
      <c r="K1078" s="31"/>
      <c r="L1078" s="24">
        <f t="shared" ref="L1078:L1084" si="429">N1078+O1078+P1078</f>
        <v>0</v>
      </c>
      <c r="M1078" s="30"/>
      <c r="N1078" s="30"/>
      <c r="O1078" s="30"/>
      <c r="P1078" s="30"/>
    </row>
    <row r="1079" spans="1:16" s="1" customFormat="1">
      <c r="A1079" s="28"/>
      <c r="B1079" s="39" t="s">
        <v>42</v>
      </c>
      <c r="C1079" s="24">
        <f t="shared" si="428"/>
        <v>0</v>
      </c>
      <c r="D1079" s="30"/>
      <c r="E1079" s="30"/>
      <c r="F1079" s="30"/>
      <c r="G1079" s="30"/>
      <c r="H1079" s="31"/>
      <c r="I1079" s="31"/>
      <c r="J1079" s="31"/>
      <c r="K1079" s="31"/>
      <c r="L1079" s="24">
        <f t="shared" si="429"/>
        <v>0</v>
      </c>
      <c r="M1079" s="30"/>
      <c r="N1079" s="30"/>
      <c r="O1079" s="30"/>
      <c r="P1079" s="30"/>
    </row>
    <row r="1080" spans="1:16" s="1" customFormat="1">
      <c r="A1080" s="28"/>
      <c r="B1080" s="39" t="s">
        <v>43</v>
      </c>
      <c r="C1080" s="24">
        <f t="shared" si="428"/>
        <v>0</v>
      </c>
      <c r="D1080" s="30"/>
      <c r="E1080" s="30"/>
      <c r="F1080" s="30"/>
      <c r="G1080" s="30"/>
      <c r="H1080" s="31"/>
      <c r="I1080" s="31"/>
      <c r="J1080" s="31"/>
      <c r="K1080" s="31"/>
      <c r="L1080" s="24">
        <f t="shared" si="429"/>
        <v>0</v>
      </c>
      <c r="M1080" s="30"/>
      <c r="N1080" s="30"/>
      <c r="O1080" s="30"/>
      <c r="P1080" s="30"/>
    </row>
    <row r="1081" spans="1:16" s="1" customFormat="1">
      <c r="A1081" s="28"/>
      <c r="B1081" s="39" t="s">
        <v>44</v>
      </c>
      <c r="C1081" s="24">
        <f t="shared" si="428"/>
        <v>0</v>
      </c>
      <c r="D1081" s="30"/>
      <c r="E1081" s="30"/>
      <c r="F1081" s="30"/>
      <c r="G1081" s="30"/>
      <c r="H1081" s="31"/>
      <c r="I1081" s="31"/>
      <c r="J1081" s="31"/>
      <c r="K1081" s="31"/>
      <c r="L1081" s="24">
        <f t="shared" si="429"/>
        <v>0</v>
      </c>
      <c r="M1081" s="30"/>
      <c r="N1081" s="30"/>
      <c r="O1081" s="30"/>
      <c r="P1081" s="30"/>
    </row>
    <row r="1082" spans="1:16" s="1" customFormat="1">
      <c r="A1082" s="28"/>
      <c r="B1082" s="39" t="s">
        <v>45</v>
      </c>
      <c r="C1082" s="24">
        <f t="shared" si="428"/>
        <v>0</v>
      </c>
      <c r="D1082" s="30"/>
      <c r="E1082" s="30"/>
      <c r="F1082" s="30"/>
      <c r="G1082" s="30"/>
      <c r="H1082" s="31"/>
      <c r="I1082" s="31"/>
      <c r="J1082" s="31"/>
      <c r="K1082" s="31"/>
      <c r="L1082" s="24">
        <f t="shared" si="429"/>
        <v>0</v>
      </c>
      <c r="M1082" s="30"/>
      <c r="N1082" s="30"/>
      <c r="O1082" s="30"/>
      <c r="P1082" s="30"/>
    </row>
    <row r="1083" spans="1:16" s="1" customFormat="1" ht="30">
      <c r="A1083" s="28"/>
      <c r="B1083" s="39" t="s">
        <v>46</v>
      </c>
      <c r="C1083" s="24">
        <f t="shared" si="428"/>
        <v>0</v>
      </c>
      <c r="D1083" s="30"/>
      <c r="E1083" s="30"/>
      <c r="F1083" s="30"/>
      <c r="G1083" s="30"/>
      <c r="H1083" s="31"/>
      <c r="I1083" s="31"/>
      <c r="J1083" s="31"/>
      <c r="K1083" s="31"/>
      <c r="L1083" s="24">
        <f t="shared" si="429"/>
        <v>0</v>
      </c>
      <c r="M1083" s="30"/>
      <c r="N1083" s="30"/>
      <c r="O1083" s="30"/>
      <c r="P1083" s="30"/>
    </row>
    <row r="1084" spans="1:16" s="1" customFormat="1">
      <c r="A1084" s="28"/>
      <c r="B1084" s="39" t="s">
        <v>47</v>
      </c>
      <c r="C1084" s="24">
        <f t="shared" si="428"/>
        <v>0</v>
      </c>
      <c r="D1084" s="30"/>
      <c r="E1084" s="30"/>
      <c r="F1084" s="30"/>
      <c r="G1084" s="30"/>
      <c r="H1084" s="31"/>
      <c r="I1084" s="31"/>
      <c r="J1084" s="31"/>
      <c r="K1084" s="31"/>
      <c r="L1084" s="24">
        <f t="shared" si="429"/>
        <v>0</v>
      </c>
      <c r="M1084" s="30"/>
      <c r="N1084" s="30"/>
      <c r="O1084" s="30"/>
      <c r="P1084" s="30"/>
    </row>
    <row r="1085" spans="1:16" s="1" customFormat="1" ht="36.75" customHeight="1">
      <c r="A1085" s="211" t="s">
        <v>3</v>
      </c>
      <c r="B1085" s="213" t="s">
        <v>4</v>
      </c>
      <c r="C1085" s="213" t="s">
        <v>5</v>
      </c>
      <c r="D1085" s="10" t="s">
        <v>6</v>
      </c>
      <c r="E1085" s="215" t="s">
        <v>7</v>
      </c>
      <c r="F1085" s="216"/>
      <c r="G1085" s="217"/>
      <c r="H1085" s="218" t="s">
        <v>8</v>
      </c>
      <c r="I1085" s="218"/>
      <c r="J1085" s="218"/>
      <c r="K1085" s="11"/>
      <c r="L1085" s="219" t="s">
        <v>9</v>
      </c>
      <c r="M1085" s="12" t="s">
        <v>6</v>
      </c>
      <c r="N1085" s="208" t="s">
        <v>10</v>
      </c>
      <c r="O1085" s="209"/>
      <c r="P1085" s="210"/>
    </row>
    <row r="1086" spans="1:16" s="1" customFormat="1" ht="47.25" customHeight="1">
      <c r="A1086" s="212"/>
      <c r="B1086" s="214"/>
      <c r="C1086" s="214"/>
      <c r="D1086" s="13" t="s">
        <v>11</v>
      </c>
      <c r="E1086" s="13" t="s">
        <v>12</v>
      </c>
      <c r="F1086" s="13" t="s">
        <v>13</v>
      </c>
      <c r="G1086" s="13" t="s">
        <v>14</v>
      </c>
      <c r="H1086" s="14" t="s">
        <v>15</v>
      </c>
      <c r="I1086" s="14" t="s">
        <v>16</v>
      </c>
      <c r="J1086" s="14" t="s">
        <v>17</v>
      </c>
      <c r="K1086" s="14" t="s">
        <v>18</v>
      </c>
      <c r="L1086" s="220"/>
      <c r="M1086" s="15" t="s">
        <v>11</v>
      </c>
      <c r="N1086" s="15" t="s">
        <v>12</v>
      </c>
      <c r="O1086" s="15" t="s">
        <v>13</v>
      </c>
      <c r="P1086" s="15" t="s">
        <v>14</v>
      </c>
    </row>
    <row r="1087" spans="1:16" s="1" customFormat="1">
      <c r="A1087" s="80">
        <v>15</v>
      </c>
      <c r="B1087" s="53" t="s">
        <v>84</v>
      </c>
      <c r="C1087" s="81">
        <f t="shared" ref="C1087:G1087" si="430">C1088+C1089+C1090+C1091+C1092+C1093+C1094+C1095+C1100+C1101+C1102+C1103+C1104+C1105+C1106+C1107</f>
        <v>883855.58000000007</v>
      </c>
      <c r="D1087" s="81">
        <f t="shared" si="430"/>
        <v>1449441.68</v>
      </c>
      <c r="E1087" s="81">
        <f t="shared" si="430"/>
        <v>45346.48</v>
      </c>
      <c r="F1087" s="81">
        <f t="shared" si="430"/>
        <v>0</v>
      </c>
      <c r="G1087" s="81">
        <f t="shared" si="430"/>
        <v>838509.10000000009</v>
      </c>
      <c r="H1087" s="82"/>
      <c r="I1087" s="83"/>
      <c r="J1087" s="83"/>
      <c r="K1087" s="84"/>
      <c r="L1087" s="81">
        <f t="shared" ref="L1087:P1087" si="431">L1088+L1089+L1090+L1091+L1092+L1093+L1094+L1095+L1100+L1101+L1102+L1103+L1104+L1105+L1106+L1107</f>
        <v>0</v>
      </c>
      <c r="M1087" s="81">
        <f t="shared" si="431"/>
        <v>1449441.68</v>
      </c>
      <c r="N1087" s="81">
        <f t="shared" si="431"/>
        <v>0</v>
      </c>
      <c r="O1087" s="81">
        <f t="shared" si="431"/>
        <v>0</v>
      </c>
      <c r="P1087" s="81">
        <f t="shared" si="431"/>
        <v>0</v>
      </c>
    </row>
    <row r="1088" spans="1:16" s="1" customFormat="1">
      <c r="A1088" s="22"/>
      <c r="B1088" s="23" t="s">
        <v>20</v>
      </c>
      <c r="C1088" s="24">
        <f t="shared" ref="C1088:C1094" si="432">E1088+F1088+G1088</f>
        <v>351799.82</v>
      </c>
      <c r="D1088" s="25"/>
      <c r="E1088" s="25"/>
      <c r="F1088" s="25"/>
      <c r="G1088" s="25">
        <v>351799.82</v>
      </c>
      <c r="H1088" s="26"/>
      <c r="I1088" s="24"/>
      <c r="J1088" s="24"/>
      <c r="K1088" s="27"/>
      <c r="L1088" s="24">
        <f t="shared" ref="L1088:L1094" si="433">N1088+O1088+P1088</f>
        <v>0</v>
      </c>
      <c r="M1088" s="25"/>
      <c r="N1088" s="25"/>
      <c r="O1088" s="25"/>
      <c r="P1088" s="25"/>
    </row>
    <row r="1089" spans="1:16" s="1" customFormat="1">
      <c r="A1089" s="28"/>
      <c r="B1089" s="29" t="s">
        <v>21</v>
      </c>
      <c r="C1089" s="24">
        <f t="shared" si="432"/>
        <v>0</v>
      </c>
      <c r="D1089" s="30">
        <f>2358.44+22085.58</f>
        <v>24444.02</v>
      </c>
      <c r="E1089" s="30"/>
      <c r="F1089" s="30"/>
      <c r="G1089" s="30"/>
      <c r="H1089" s="31"/>
      <c r="I1089" s="31"/>
      <c r="J1089" s="31"/>
      <c r="K1089" s="31"/>
      <c r="L1089" s="24">
        <f t="shared" si="433"/>
        <v>0</v>
      </c>
      <c r="M1089" s="30">
        <f>2358.44+22085.58</f>
        <v>24444.02</v>
      </c>
      <c r="N1089" s="30"/>
      <c r="O1089" s="30"/>
      <c r="P1089" s="30"/>
    </row>
    <row r="1090" spans="1:16" s="1" customFormat="1">
      <c r="A1090" s="28"/>
      <c r="B1090" s="32" t="s">
        <v>22</v>
      </c>
      <c r="C1090" s="24">
        <f t="shared" si="432"/>
        <v>0</v>
      </c>
      <c r="D1090" s="30"/>
      <c r="E1090" s="30"/>
      <c r="F1090" s="30"/>
      <c r="G1090" s="30"/>
      <c r="H1090" s="31"/>
      <c r="I1090" s="31"/>
      <c r="J1090" s="31"/>
      <c r="K1090" s="31"/>
      <c r="L1090" s="24">
        <f t="shared" si="433"/>
        <v>0</v>
      </c>
      <c r="M1090" s="30"/>
      <c r="N1090" s="30"/>
      <c r="O1090" s="30"/>
      <c r="P1090" s="30"/>
    </row>
    <row r="1091" spans="1:16" s="1" customFormat="1">
      <c r="A1091" s="28"/>
      <c r="B1091" s="32" t="s">
        <v>23</v>
      </c>
      <c r="C1091" s="24">
        <f t="shared" si="432"/>
        <v>0</v>
      </c>
      <c r="D1091" s="30"/>
      <c r="E1091" s="30"/>
      <c r="F1091" s="30"/>
      <c r="G1091" s="30"/>
      <c r="H1091" s="31"/>
      <c r="I1091" s="31"/>
      <c r="J1091" s="31"/>
      <c r="K1091" s="31"/>
      <c r="L1091" s="24">
        <f t="shared" si="433"/>
        <v>0</v>
      </c>
      <c r="M1091" s="30"/>
      <c r="N1091" s="30"/>
      <c r="O1091" s="30"/>
      <c r="P1091" s="30"/>
    </row>
    <row r="1092" spans="1:16" s="1" customFormat="1">
      <c r="A1092" s="28"/>
      <c r="B1092" s="29" t="s">
        <v>24</v>
      </c>
      <c r="C1092" s="24">
        <f t="shared" si="432"/>
        <v>0</v>
      </c>
      <c r="D1092" s="30">
        <v>19748.95</v>
      </c>
      <c r="E1092" s="30"/>
      <c r="F1092" s="30"/>
      <c r="G1092" s="30"/>
      <c r="H1092" s="31"/>
      <c r="I1092" s="31"/>
      <c r="J1092" s="31"/>
      <c r="K1092" s="31"/>
      <c r="L1092" s="24">
        <f t="shared" si="433"/>
        <v>0</v>
      </c>
      <c r="M1092" s="30">
        <v>19748.95</v>
      </c>
      <c r="N1092" s="30"/>
      <c r="O1092" s="30"/>
      <c r="P1092" s="30"/>
    </row>
    <row r="1093" spans="1:16" s="1" customFormat="1">
      <c r="A1093" s="28"/>
      <c r="B1093" s="34" t="s">
        <v>25</v>
      </c>
      <c r="C1093" s="24">
        <f t="shared" si="432"/>
        <v>0</v>
      </c>
      <c r="D1093" s="30">
        <v>3923.98</v>
      </c>
      <c r="E1093" s="30"/>
      <c r="F1093" s="30"/>
      <c r="G1093" s="30"/>
      <c r="H1093" s="31"/>
      <c r="I1093" s="31"/>
      <c r="J1093" s="31"/>
      <c r="K1093" s="31"/>
      <c r="L1093" s="24">
        <f t="shared" si="433"/>
        <v>0</v>
      </c>
      <c r="M1093" s="30">
        <v>3923.98</v>
      </c>
      <c r="N1093" s="30"/>
      <c r="O1093" s="30"/>
      <c r="P1093" s="30"/>
    </row>
    <row r="1094" spans="1:16" s="1" customFormat="1">
      <c r="A1094" s="28"/>
      <c r="B1094" s="32" t="s">
        <v>26</v>
      </c>
      <c r="C1094" s="24">
        <f t="shared" si="432"/>
        <v>0</v>
      </c>
      <c r="D1094" s="30"/>
      <c r="E1094" s="30"/>
      <c r="F1094" s="30"/>
      <c r="G1094" s="30"/>
      <c r="H1094" s="31"/>
      <c r="I1094" s="31"/>
      <c r="J1094" s="31"/>
      <c r="K1094" s="31"/>
      <c r="L1094" s="24">
        <f t="shared" si="433"/>
        <v>0</v>
      </c>
      <c r="M1094" s="30"/>
      <c r="N1094" s="30"/>
      <c r="O1094" s="30"/>
      <c r="P1094" s="30"/>
    </row>
    <row r="1095" spans="1:16" s="1" customFormat="1" ht="30">
      <c r="A1095" s="28"/>
      <c r="B1095" s="35" t="s">
        <v>27</v>
      </c>
      <c r="C1095" s="36">
        <f t="shared" ref="C1095:G1095" si="434">SUM(C1096:C1099)</f>
        <v>43401.48</v>
      </c>
      <c r="D1095" s="36">
        <f t="shared" si="434"/>
        <v>82414.7</v>
      </c>
      <c r="E1095" s="36">
        <f t="shared" si="434"/>
        <v>43401.48</v>
      </c>
      <c r="F1095" s="36">
        <f t="shared" si="434"/>
        <v>0</v>
      </c>
      <c r="G1095" s="36">
        <f t="shared" si="434"/>
        <v>0</v>
      </c>
      <c r="H1095" s="31"/>
      <c r="I1095" s="31"/>
      <c r="J1095" s="31"/>
      <c r="K1095" s="31"/>
      <c r="L1095" s="36">
        <f t="shared" ref="L1095:P1095" si="435">SUM(L1096:L1099)</f>
        <v>0</v>
      </c>
      <c r="M1095" s="36">
        <f t="shared" si="435"/>
        <v>82414.7</v>
      </c>
      <c r="N1095" s="36">
        <f t="shared" si="435"/>
        <v>0</v>
      </c>
      <c r="O1095" s="36">
        <f t="shared" si="435"/>
        <v>0</v>
      </c>
      <c r="P1095" s="36">
        <f t="shared" si="435"/>
        <v>0</v>
      </c>
    </row>
    <row r="1096" spans="1:16" s="1" customFormat="1">
      <c r="A1096" s="28"/>
      <c r="B1096" s="38" t="s">
        <v>28</v>
      </c>
      <c r="C1096" s="24">
        <f t="shared" ref="C1096:C1106" si="436">E1096+F1096+G1096</f>
        <v>0</v>
      </c>
      <c r="D1096" s="30">
        <v>53997.69</v>
      </c>
      <c r="E1096" s="30"/>
      <c r="F1096" s="30"/>
      <c r="G1096" s="30"/>
      <c r="H1096" s="31"/>
      <c r="I1096" s="31"/>
      <c r="J1096" s="31"/>
      <c r="K1096" s="31"/>
      <c r="L1096" s="24">
        <f t="shared" ref="L1096:L1106" si="437">N1096+O1096+P1096</f>
        <v>0</v>
      </c>
      <c r="M1096" s="30">
        <v>53997.69</v>
      </c>
      <c r="N1096" s="30"/>
      <c r="O1096" s="30"/>
      <c r="P1096" s="30"/>
    </row>
    <row r="1097" spans="1:16" s="1" customFormat="1">
      <c r="A1097" s="28"/>
      <c r="B1097" s="38" t="s">
        <v>29</v>
      </c>
      <c r="C1097" s="24">
        <f t="shared" si="436"/>
        <v>0</v>
      </c>
      <c r="D1097" s="30">
        <v>18313.23</v>
      </c>
      <c r="E1097" s="30"/>
      <c r="F1097" s="30"/>
      <c r="G1097" s="30"/>
      <c r="H1097" s="31"/>
      <c r="I1097" s="31"/>
      <c r="J1097" s="31"/>
      <c r="K1097" s="31"/>
      <c r="L1097" s="24">
        <f t="shared" si="437"/>
        <v>0</v>
      </c>
      <c r="M1097" s="30">
        <v>18313.23</v>
      </c>
      <c r="N1097" s="30"/>
      <c r="O1097" s="30"/>
      <c r="P1097" s="30"/>
    </row>
    <row r="1098" spans="1:16" s="1" customFormat="1">
      <c r="A1098" s="28"/>
      <c r="B1098" s="38" t="s">
        <v>30</v>
      </c>
      <c r="C1098" s="24">
        <f t="shared" si="436"/>
        <v>43401.48</v>
      </c>
      <c r="D1098" s="30">
        <v>10103.780000000001</v>
      </c>
      <c r="E1098" s="30">
        <v>43401.48</v>
      </c>
      <c r="F1098" s="30"/>
      <c r="G1098" s="30"/>
      <c r="H1098" s="31"/>
      <c r="I1098" s="31"/>
      <c r="J1098" s="31"/>
      <c r="K1098" s="31"/>
      <c r="L1098" s="24">
        <f t="shared" si="437"/>
        <v>0</v>
      </c>
      <c r="M1098" s="30">
        <v>10103.780000000001</v>
      </c>
      <c r="N1098" s="30"/>
      <c r="O1098" s="30"/>
      <c r="P1098" s="30"/>
    </row>
    <row r="1099" spans="1:16" s="1" customFormat="1">
      <c r="A1099" s="28"/>
      <c r="B1099" s="38" t="s">
        <v>31</v>
      </c>
      <c r="C1099" s="24">
        <f t="shared" si="436"/>
        <v>0</v>
      </c>
      <c r="D1099" s="30"/>
      <c r="E1099" s="30"/>
      <c r="F1099" s="30"/>
      <c r="G1099" s="30"/>
      <c r="H1099" s="31"/>
      <c r="I1099" s="31"/>
      <c r="J1099" s="31"/>
      <c r="K1099" s="31"/>
      <c r="L1099" s="24">
        <f t="shared" si="437"/>
        <v>0</v>
      </c>
      <c r="M1099" s="30"/>
      <c r="N1099" s="30"/>
      <c r="O1099" s="30"/>
      <c r="P1099" s="30"/>
    </row>
    <row r="1100" spans="1:16" s="1" customFormat="1" ht="30">
      <c r="A1100" s="28"/>
      <c r="B1100" s="39" t="s">
        <v>32</v>
      </c>
      <c r="C1100" s="24">
        <f t="shared" si="436"/>
        <v>0</v>
      </c>
      <c r="D1100" s="30"/>
      <c r="E1100" s="30"/>
      <c r="F1100" s="30"/>
      <c r="G1100" s="30"/>
      <c r="H1100" s="31"/>
      <c r="I1100" s="31"/>
      <c r="J1100" s="31"/>
      <c r="K1100" s="31"/>
      <c r="L1100" s="24">
        <f t="shared" si="437"/>
        <v>0</v>
      </c>
      <c r="M1100" s="30"/>
      <c r="N1100" s="30"/>
      <c r="O1100" s="30"/>
      <c r="P1100" s="30"/>
    </row>
    <row r="1101" spans="1:16" s="1" customFormat="1" ht="30">
      <c r="A1101" s="28"/>
      <c r="B1101" s="39" t="s">
        <v>33</v>
      </c>
      <c r="C1101" s="24">
        <f t="shared" si="436"/>
        <v>0</v>
      </c>
      <c r="D1101" s="30">
        <v>6545.83</v>
      </c>
      <c r="E1101" s="30"/>
      <c r="F1101" s="30"/>
      <c r="G1101" s="30"/>
      <c r="H1101" s="31"/>
      <c r="I1101" s="31"/>
      <c r="J1101" s="31"/>
      <c r="K1101" s="31"/>
      <c r="L1101" s="24">
        <f t="shared" si="437"/>
        <v>0</v>
      </c>
      <c r="M1101" s="30">
        <v>6545.83</v>
      </c>
      <c r="N1101" s="30"/>
      <c r="O1101" s="30"/>
      <c r="P1101" s="30"/>
    </row>
    <row r="1102" spans="1:16" s="1" customFormat="1" ht="30">
      <c r="A1102" s="28"/>
      <c r="B1102" s="40" t="s">
        <v>34</v>
      </c>
      <c r="C1102" s="24">
        <f t="shared" si="436"/>
        <v>0</v>
      </c>
      <c r="D1102" s="30"/>
      <c r="E1102" s="30"/>
      <c r="F1102" s="30"/>
      <c r="G1102" s="30"/>
      <c r="H1102" s="31"/>
      <c r="I1102" s="31"/>
      <c r="J1102" s="31"/>
      <c r="K1102" s="31"/>
      <c r="L1102" s="24">
        <f t="shared" si="437"/>
        <v>0</v>
      </c>
      <c r="M1102" s="30"/>
      <c r="N1102" s="30"/>
      <c r="O1102" s="30"/>
      <c r="P1102" s="30"/>
    </row>
    <row r="1103" spans="1:16" s="1" customFormat="1">
      <c r="A1103" s="28"/>
      <c r="B1103" s="40" t="s">
        <v>35</v>
      </c>
      <c r="C1103" s="24">
        <f t="shared" si="436"/>
        <v>486709.28</v>
      </c>
      <c r="D1103" s="30"/>
      <c r="E1103" s="30"/>
      <c r="F1103" s="30"/>
      <c r="G1103" s="30">
        <v>486709.28</v>
      </c>
      <c r="H1103" s="31"/>
      <c r="I1103" s="31"/>
      <c r="J1103" s="31"/>
      <c r="K1103" s="31"/>
      <c r="L1103" s="24">
        <f t="shared" si="437"/>
        <v>0</v>
      </c>
      <c r="M1103" s="30"/>
      <c r="N1103" s="30"/>
      <c r="O1103" s="30"/>
      <c r="P1103" s="30"/>
    </row>
    <row r="1104" spans="1:16" s="1" customFormat="1" ht="30">
      <c r="A1104" s="28"/>
      <c r="B1104" s="41" t="s">
        <v>36</v>
      </c>
      <c r="C1104" s="24">
        <f t="shared" si="436"/>
        <v>0</v>
      </c>
      <c r="D1104" s="30"/>
      <c r="E1104" s="30"/>
      <c r="F1104" s="30"/>
      <c r="G1104" s="30"/>
      <c r="H1104" s="31"/>
      <c r="I1104" s="31"/>
      <c r="J1104" s="31"/>
      <c r="K1104" s="31"/>
      <c r="L1104" s="24">
        <f t="shared" si="437"/>
        <v>0</v>
      </c>
      <c r="M1104" s="30"/>
      <c r="N1104" s="30"/>
      <c r="O1104" s="30"/>
      <c r="P1104" s="30"/>
    </row>
    <row r="1105" spans="1:16" s="1" customFormat="1">
      <c r="A1105" s="28"/>
      <c r="B1105" s="42" t="s">
        <v>37</v>
      </c>
      <c r="C1105" s="24">
        <f t="shared" si="436"/>
        <v>1945</v>
      </c>
      <c r="D1105" s="30"/>
      <c r="E1105" s="30">
        <v>1945</v>
      </c>
      <c r="F1105" s="30"/>
      <c r="G1105" s="30"/>
      <c r="H1105" s="31"/>
      <c r="I1105" s="31"/>
      <c r="J1105" s="31"/>
      <c r="K1105" s="31"/>
      <c r="L1105" s="24">
        <f t="shared" si="437"/>
        <v>0</v>
      </c>
      <c r="M1105" s="30"/>
      <c r="N1105" s="30"/>
      <c r="O1105" s="30"/>
      <c r="P1105" s="30"/>
    </row>
    <row r="1106" spans="1:16" s="1" customFormat="1" ht="30">
      <c r="A1106" s="28"/>
      <c r="B1106" s="42" t="s">
        <v>38</v>
      </c>
      <c r="C1106" s="24">
        <f t="shared" si="436"/>
        <v>0</v>
      </c>
      <c r="D1106" s="30">
        <f>1080048.53+210850</f>
        <v>1290898.53</v>
      </c>
      <c r="E1106" s="30"/>
      <c r="F1106" s="30"/>
      <c r="G1106" s="30"/>
      <c r="H1106" s="31"/>
      <c r="I1106" s="31"/>
      <c r="J1106" s="31"/>
      <c r="K1106" s="31"/>
      <c r="L1106" s="24">
        <f t="shared" si="437"/>
        <v>0</v>
      </c>
      <c r="M1106" s="30">
        <f>1080048.53+210850</f>
        <v>1290898.53</v>
      </c>
      <c r="N1106" s="30"/>
      <c r="O1106" s="30"/>
      <c r="P1106" s="30"/>
    </row>
    <row r="1107" spans="1:16" s="1" customFormat="1" ht="30">
      <c r="A1107" s="28"/>
      <c r="B1107" s="43" t="s">
        <v>39</v>
      </c>
      <c r="C1107" s="36">
        <f t="shared" ref="C1107:G1107" si="438">SUM(C1108:C1114)</f>
        <v>0</v>
      </c>
      <c r="D1107" s="36">
        <f t="shared" si="438"/>
        <v>21465.67</v>
      </c>
      <c r="E1107" s="36">
        <f t="shared" si="438"/>
        <v>0</v>
      </c>
      <c r="F1107" s="36">
        <f t="shared" si="438"/>
        <v>0</v>
      </c>
      <c r="G1107" s="36">
        <f t="shared" si="438"/>
        <v>0</v>
      </c>
      <c r="H1107" s="31"/>
      <c r="I1107" s="31"/>
      <c r="J1107" s="31"/>
      <c r="K1107" s="31"/>
      <c r="L1107" s="36">
        <f t="shared" ref="L1107:P1107" si="439">SUM(L1108:L1114)</f>
        <v>0</v>
      </c>
      <c r="M1107" s="36">
        <f t="shared" si="439"/>
        <v>21465.67</v>
      </c>
      <c r="N1107" s="36">
        <f t="shared" si="439"/>
        <v>0</v>
      </c>
      <c r="O1107" s="36">
        <f t="shared" si="439"/>
        <v>0</v>
      </c>
      <c r="P1107" s="36">
        <f t="shared" si="439"/>
        <v>0</v>
      </c>
    </row>
    <row r="1108" spans="1:16" s="1" customFormat="1" ht="30">
      <c r="A1108" s="28" t="s">
        <v>40</v>
      </c>
      <c r="B1108" s="39" t="s">
        <v>41</v>
      </c>
      <c r="C1108" s="24">
        <f t="shared" ref="C1108:C1114" si="440">E1108+F1108+G1108</f>
        <v>0</v>
      </c>
      <c r="D1108" s="30"/>
      <c r="E1108" s="30"/>
      <c r="F1108" s="30"/>
      <c r="G1108" s="30"/>
      <c r="H1108" s="31"/>
      <c r="I1108" s="31"/>
      <c r="J1108" s="31"/>
      <c r="K1108" s="31"/>
      <c r="L1108" s="24">
        <f t="shared" ref="L1108:L1114" si="441">N1108+O1108+P1108</f>
        <v>0</v>
      </c>
      <c r="M1108" s="30"/>
      <c r="N1108" s="30"/>
      <c r="O1108" s="30"/>
      <c r="P1108" s="30"/>
    </row>
    <row r="1109" spans="1:16" s="1" customFormat="1">
      <c r="A1109" s="28"/>
      <c r="B1109" s="39" t="s">
        <v>42</v>
      </c>
      <c r="C1109" s="24">
        <f t="shared" si="440"/>
        <v>0</v>
      </c>
      <c r="D1109" s="30"/>
      <c r="E1109" s="30"/>
      <c r="F1109" s="30"/>
      <c r="G1109" s="30"/>
      <c r="H1109" s="31"/>
      <c r="I1109" s="31"/>
      <c r="J1109" s="31"/>
      <c r="K1109" s="31"/>
      <c r="L1109" s="24">
        <f t="shared" si="441"/>
        <v>0</v>
      </c>
      <c r="M1109" s="30"/>
      <c r="N1109" s="30"/>
      <c r="O1109" s="30"/>
      <c r="P1109" s="30"/>
    </row>
    <row r="1110" spans="1:16" s="1" customFormat="1">
      <c r="A1110" s="28"/>
      <c r="B1110" s="39" t="s">
        <v>43</v>
      </c>
      <c r="C1110" s="24">
        <f t="shared" si="440"/>
        <v>0</v>
      </c>
      <c r="D1110" s="30"/>
      <c r="E1110" s="30"/>
      <c r="F1110" s="30"/>
      <c r="G1110" s="30"/>
      <c r="H1110" s="31"/>
      <c r="I1110" s="31"/>
      <c r="J1110" s="31"/>
      <c r="K1110" s="31"/>
      <c r="L1110" s="24">
        <f t="shared" si="441"/>
        <v>0</v>
      </c>
      <c r="M1110" s="30"/>
      <c r="N1110" s="30"/>
      <c r="O1110" s="30"/>
      <c r="P1110" s="30"/>
    </row>
    <row r="1111" spans="1:16" s="1" customFormat="1">
      <c r="A1111" s="28"/>
      <c r="B1111" s="39" t="s">
        <v>44</v>
      </c>
      <c r="C1111" s="24">
        <f t="shared" si="440"/>
        <v>0</v>
      </c>
      <c r="D1111" s="30"/>
      <c r="E1111" s="30"/>
      <c r="F1111" s="30"/>
      <c r="G1111" s="30"/>
      <c r="H1111" s="31"/>
      <c r="I1111" s="31"/>
      <c r="J1111" s="31"/>
      <c r="K1111" s="31"/>
      <c r="L1111" s="24">
        <f t="shared" si="441"/>
        <v>0</v>
      </c>
      <c r="M1111" s="30"/>
      <c r="N1111" s="30"/>
      <c r="O1111" s="30"/>
      <c r="P1111" s="30"/>
    </row>
    <row r="1112" spans="1:16" s="1" customFormat="1">
      <c r="A1112" s="28"/>
      <c r="B1112" s="39" t="s">
        <v>45</v>
      </c>
      <c r="C1112" s="24">
        <f t="shared" si="440"/>
        <v>0</v>
      </c>
      <c r="D1112" s="30">
        <v>21465.67</v>
      </c>
      <c r="E1112" s="30"/>
      <c r="F1112" s="30"/>
      <c r="G1112" s="30"/>
      <c r="H1112" s="31"/>
      <c r="I1112" s="31"/>
      <c r="J1112" s="31"/>
      <c r="K1112" s="31"/>
      <c r="L1112" s="24">
        <f t="shared" si="441"/>
        <v>0</v>
      </c>
      <c r="M1112" s="30">
        <v>21465.67</v>
      </c>
      <c r="N1112" s="30"/>
      <c r="O1112" s="30"/>
      <c r="P1112" s="30"/>
    </row>
    <row r="1113" spans="1:16" s="1" customFormat="1" ht="30">
      <c r="A1113" s="28"/>
      <c r="B1113" s="39" t="s">
        <v>46</v>
      </c>
      <c r="C1113" s="24">
        <f t="shared" si="440"/>
        <v>0</v>
      </c>
      <c r="D1113" s="30"/>
      <c r="E1113" s="30"/>
      <c r="F1113" s="30"/>
      <c r="G1113" s="30"/>
      <c r="H1113" s="31"/>
      <c r="I1113" s="31"/>
      <c r="J1113" s="31"/>
      <c r="K1113" s="31"/>
      <c r="L1113" s="24">
        <f t="shared" si="441"/>
        <v>0</v>
      </c>
      <c r="M1113" s="30"/>
      <c r="N1113" s="30"/>
      <c r="O1113" s="30"/>
      <c r="P1113" s="30"/>
    </row>
    <row r="1114" spans="1:16" s="1" customFormat="1">
      <c r="A1114" s="28"/>
      <c r="B1114" s="39" t="s">
        <v>47</v>
      </c>
      <c r="C1114" s="24">
        <f t="shared" si="440"/>
        <v>0</v>
      </c>
      <c r="D1114" s="30"/>
      <c r="E1114" s="30"/>
      <c r="F1114" s="30"/>
      <c r="G1114" s="30"/>
      <c r="H1114" s="31"/>
      <c r="I1114" s="31"/>
      <c r="J1114" s="31"/>
      <c r="K1114" s="31"/>
      <c r="L1114" s="24">
        <f t="shared" si="441"/>
        <v>0</v>
      </c>
      <c r="M1114" s="30"/>
      <c r="N1114" s="30"/>
      <c r="O1114" s="30"/>
      <c r="P1114" s="30"/>
    </row>
    <row r="1115" spans="1:16" s="1" customFormat="1" ht="36.75" customHeight="1">
      <c r="A1115" s="211" t="s">
        <v>3</v>
      </c>
      <c r="B1115" s="213" t="s">
        <v>4</v>
      </c>
      <c r="C1115" s="213" t="s">
        <v>5</v>
      </c>
      <c r="D1115" s="10" t="s">
        <v>6</v>
      </c>
      <c r="E1115" s="215" t="s">
        <v>7</v>
      </c>
      <c r="F1115" s="216"/>
      <c r="G1115" s="217"/>
      <c r="H1115" s="218" t="s">
        <v>8</v>
      </c>
      <c r="I1115" s="218"/>
      <c r="J1115" s="218"/>
      <c r="K1115" s="11"/>
      <c r="L1115" s="219" t="s">
        <v>9</v>
      </c>
      <c r="M1115" s="12" t="s">
        <v>6</v>
      </c>
      <c r="N1115" s="208" t="s">
        <v>10</v>
      </c>
      <c r="O1115" s="209"/>
      <c r="P1115" s="210"/>
    </row>
    <row r="1116" spans="1:16" s="1" customFormat="1" ht="47.25" customHeight="1">
      <c r="A1116" s="212"/>
      <c r="B1116" s="214"/>
      <c r="C1116" s="214"/>
      <c r="D1116" s="13" t="s">
        <v>11</v>
      </c>
      <c r="E1116" s="13" t="s">
        <v>12</v>
      </c>
      <c r="F1116" s="13" t="s">
        <v>13</v>
      </c>
      <c r="G1116" s="13" t="s">
        <v>14</v>
      </c>
      <c r="H1116" s="14" t="s">
        <v>15</v>
      </c>
      <c r="I1116" s="14" t="s">
        <v>16</v>
      </c>
      <c r="J1116" s="14" t="s">
        <v>17</v>
      </c>
      <c r="K1116" s="14" t="s">
        <v>18</v>
      </c>
      <c r="L1116" s="220"/>
      <c r="M1116" s="15" t="s">
        <v>11</v>
      </c>
      <c r="N1116" s="15" t="s">
        <v>12</v>
      </c>
      <c r="O1116" s="15" t="s">
        <v>13</v>
      </c>
      <c r="P1116" s="15" t="s">
        <v>14</v>
      </c>
    </row>
    <row r="1117" spans="1:16" s="1" customFormat="1">
      <c r="A1117" s="80">
        <v>16</v>
      </c>
      <c r="B1117" s="53" t="s">
        <v>85</v>
      </c>
      <c r="C1117" s="81">
        <f t="shared" ref="C1117:G1117" si="442">C1118+C1119+C1120+C1121+C1122+C1123+C1124+C1125+C1130+C1131+C1132+C1133+C1134+C1135+C1136+C1137</f>
        <v>1012298</v>
      </c>
      <c r="D1117" s="81">
        <f t="shared" si="442"/>
        <v>1313404.97</v>
      </c>
      <c r="E1117" s="81">
        <f t="shared" si="442"/>
        <v>567086.15999999992</v>
      </c>
      <c r="F1117" s="81">
        <f t="shared" si="442"/>
        <v>0</v>
      </c>
      <c r="G1117" s="81">
        <f t="shared" si="442"/>
        <v>445211.83999999997</v>
      </c>
      <c r="H1117" s="82"/>
      <c r="I1117" s="83"/>
      <c r="J1117" s="83"/>
      <c r="K1117" s="84"/>
      <c r="L1117" s="81">
        <f t="shared" ref="L1117:P1117" si="443">L1118+L1119+L1120+L1121+L1122+L1123+L1124+L1125+L1130+L1131+L1132+L1133+L1134+L1135+L1136+L1137</f>
        <v>0</v>
      </c>
      <c r="M1117" s="81">
        <f t="shared" si="443"/>
        <v>1313404.97</v>
      </c>
      <c r="N1117" s="81">
        <f t="shared" si="443"/>
        <v>0</v>
      </c>
      <c r="O1117" s="81">
        <f t="shared" si="443"/>
        <v>0</v>
      </c>
      <c r="P1117" s="81">
        <f t="shared" si="443"/>
        <v>0</v>
      </c>
    </row>
    <row r="1118" spans="1:16" s="1" customFormat="1">
      <c r="A1118" s="22"/>
      <c r="B1118" s="23" t="s">
        <v>20</v>
      </c>
      <c r="C1118" s="24">
        <f t="shared" ref="C1118:C1124" si="444">E1118+F1118+G1118</f>
        <v>200000</v>
      </c>
      <c r="D1118" s="25"/>
      <c r="E1118" s="25"/>
      <c r="F1118" s="25"/>
      <c r="G1118" s="25">
        <v>200000</v>
      </c>
      <c r="H1118" s="26"/>
      <c r="I1118" s="24"/>
      <c r="J1118" s="24"/>
      <c r="K1118" s="27"/>
      <c r="L1118" s="24">
        <f t="shared" ref="L1118:L1124" si="445">N1118+O1118+P1118</f>
        <v>0</v>
      </c>
      <c r="M1118" s="25"/>
      <c r="N1118" s="25"/>
      <c r="O1118" s="25"/>
      <c r="P1118" s="25"/>
    </row>
    <row r="1119" spans="1:16" s="1" customFormat="1">
      <c r="A1119" s="28"/>
      <c r="B1119" s="29" t="s">
        <v>21</v>
      </c>
      <c r="C1119" s="24">
        <f t="shared" si="444"/>
        <v>0</v>
      </c>
      <c r="D1119" s="30"/>
      <c r="E1119" s="30"/>
      <c r="F1119" s="30"/>
      <c r="G1119" s="30"/>
      <c r="H1119" s="31"/>
      <c r="I1119" s="31"/>
      <c r="J1119" s="31"/>
      <c r="K1119" s="31"/>
      <c r="L1119" s="24">
        <f t="shared" si="445"/>
        <v>0</v>
      </c>
      <c r="M1119" s="30"/>
      <c r="N1119" s="30"/>
      <c r="O1119" s="30"/>
      <c r="P1119" s="30"/>
    </row>
    <row r="1120" spans="1:16" s="1" customFormat="1">
      <c r="A1120" s="28"/>
      <c r="B1120" s="32" t="s">
        <v>22</v>
      </c>
      <c r="C1120" s="24">
        <f t="shared" si="444"/>
        <v>0</v>
      </c>
      <c r="D1120" s="30"/>
      <c r="E1120" s="30"/>
      <c r="F1120" s="30"/>
      <c r="G1120" s="30"/>
      <c r="H1120" s="31"/>
      <c r="I1120" s="31"/>
      <c r="J1120" s="31"/>
      <c r="K1120" s="31"/>
      <c r="L1120" s="24">
        <f t="shared" si="445"/>
        <v>0</v>
      </c>
      <c r="M1120" s="30"/>
      <c r="N1120" s="30"/>
      <c r="O1120" s="30"/>
      <c r="P1120" s="30"/>
    </row>
    <row r="1121" spans="1:16" s="1" customFormat="1">
      <c r="A1121" s="28"/>
      <c r="B1121" s="32" t="s">
        <v>23</v>
      </c>
      <c r="C1121" s="24">
        <f t="shared" si="444"/>
        <v>33890</v>
      </c>
      <c r="D1121" s="30"/>
      <c r="E1121" s="30">
        <v>33890</v>
      </c>
      <c r="F1121" s="30"/>
      <c r="G1121" s="30"/>
      <c r="H1121" s="31"/>
      <c r="I1121" s="31"/>
      <c r="J1121" s="31"/>
      <c r="K1121" s="31"/>
      <c r="L1121" s="24">
        <f t="shared" si="445"/>
        <v>0</v>
      </c>
      <c r="M1121" s="30"/>
      <c r="N1121" s="30"/>
      <c r="O1121" s="30"/>
      <c r="P1121" s="30"/>
    </row>
    <row r="1122" spans="1:16" s="1" customFormat="1">
      <c r="A1122" s="28"/>
      <c r="B1122" s="29" t="s">
        <v>24</v>
      </c>
      <c r="C1122" s="24">
        <f t="shared" si="444"/>
        <v>465961.8</v>
      </c>
      <c r="D1122" s="30">
        <f>72463.05+16.87</f>
        <v>72479.92</v>
      </c>
      <c r="E1122" s="30">
        <f>100896.7+365065.1</f>
        <v>465961.8</v>
      </c>
      <c r="F1122" s="30"/>
      <c r="G1122" s="30"/>
      <c r="H1122" s="31"/>
      <c r="I1122" s="31"/>
      <c r="J1122" s="31"/>
      <c r="K1122" s="31"/>
      <c r="L1122" s="24">
        <f t="shared" si="445"/>
        <v>0</v>
      </c>
      <c r="M1122" s="30">
        <f>72463.05+16.87</f>
        <v>72479.92</v>
      </c>
      <c r="N1122" s="30"/>
      <c r="O1122" s="30"/>
      <c r="P1122" s="30"/>
    </row>
    <row r="1123" spans="1:16" s="1" customFormat="1">
      <c r="A1123" s="28"/>
      <c r="B1123" s="34" t="s">
        <v>25</v>
      </c>
      <c r="C1123" s="24">
        <f t="shared" si="444"/>
        <v>7150</v>
      </c>
      <c r="D1123" s="30">
        <f>10338.89+34663.77</f>
        <v>45002.659999999996</v>
      </c>
      <c r="E1123" s="30">
        <v>7150</v>
      </c>
      <c r="F1123" s="30"/>
      <c r="G1123" s="30"/>
      <c r="H1123" s="31"/>
      <c r="I1123" s="31"/>
      <c r="J1123" s="31"/>
      <c r="K1123" s="31"/>
      <c r="L1123" s="24">
        <f t="shared" si="445"/>
        <v>0</v>
      </c>
      <c r="M1123" s="30">
        <f>10338.89+34663.77</f>
        <v>45002.659999999996</v>
      </c>
      <c r="N1123" s="30"/>
      <c r="O1123" s="30"/>
      <c r="P1123" s="30"/>
    </row>
    <row r="1124" spans="1:16" s="1" customFormat="1">
      <c r="A1124" s="28"/>
      <c r="B1124" s="32" t="s">
        <v>26</v>
      </c>
      <c r="C1124" s="24">
        <f t="shared" si="444"/>
        <v>0</v>
      </c>
      <c r="D1124" s="30"/>
      <c r="E1124" s="30"/>
      <c r="F1124" s="30"/>
      <c r="G1124" s="30"/>
      <c r="H1124" s="31"/>
      <c r="I1124" s="31"/>
      <c r="J1124" s="31"/>
      <c r="K1124" s="31"/>
      <c r="L1124" s="24">
        <f t="shared" si="445"/>
        <v>0</v>
      </c>
      <c r="M1124" s="30"/>
      <c r="N1124" s="30"/>
      <c r="O1124" s="30"/>
      <c r="P1124" s="30"/>
    </row>
    <row r="1125" spans="1:16" s="1" customFormat="1" ht="30">
      <c r="A1125" s="28"/>
      <c r="B1125" s="35" t="s">
        <v>27</v>
      </c>
      <c r="C1125" s="36">
        <f t="shared" ref="C1125:G1125" si="446">SUM(C1126:C1129)</f>
        <v>0</v>
      </c>
      <c r="D1125" s="36">
        <f t="shared" si="446"/>
        <v>281140.2</v>
      </c>
      <c r="E1125" s="36">
        <f t="shared" si="446"/>
        <v>0</v>
      </c>
      <c r="F1125" s="36">
        <f t="shared" si="446"/>
        <v>0</v>
      </c>
      <c r="G1125" s="36">
        <f t="shared" si="446"/>
        <v>0</v>
      </c>
      <c r="H1125" s="31"/>
      <c r="I1125" s="31"/>
      <c r="J1125" s="31"/>
      <c r="K1125" s="31"/>
      <c r="L1125" s="36">
        <f t="shared" ref="L1125:P1125" si="447">SUM(L1126:L1129)</f>
        <v>0</v>
      </c>
      <c r="M1125" s="36">
        <f t="shared" si="447"/>
        <v>281140.2</v>
      </c>
      <c r="N1125" s="36">
        <f t="shared" si="447"/>
        <v>0</v>
      </c>
      <c r="O1125" s="36">
        <f t="shared" si="447"/>
        <v>0</v>
      </c>
      <c r="P1125" s="36">
        <f t="shared" si="447"/>
        <v>0</v>
      </c>
    </row>
    <row r="1126" spans="1:16" s="1" customFormat="1">
      <c r="A1126" s="28"/>
      <c r="B1126" s="38" t="s">
        <v>28</v>
      </c>
      <c r="C1126" s="24">
        <f t="shared" ref="C1126:C1136" si="448">E1126+F1126+G1126</f>
        <v>0</v>
      </c>
      <c r="D1126" s="30">
        <f>23402.61+5921.56</f>
        <v>29324.170000000002</v>
      </c>
      <c r="E1126" s="30"/>
      <c r="F1126" s="30"/>
      <c r="G1126" s="30"/>
      <c r="H1126" s="31"/>
      <c r="I1126" s="31"/>
      <c r="J1126" s="31"/>
      <c r="K1126" s="31"/>
      <c r="L1126" s="24">
        <f t="shared" ref="L1126:L1136" si="449">N1126+O1126+P1126</f>
        <v>0</v>
      </c>
      <c r="M1126" s="30">
        <f>23402.61+5921.56</f>
        <v>29324.170000000002</v>
      </c>
      <c r="N1126" s="30"/>
      <c r="O1126" s="30"/>
      <c r="P1126" s="30"/>
    </row>
    <row r="1127" spans="1:16" s="1" customFormat="1">
      <c r="A1127" s="28"/>
      <c r="B1127" s="38" t="s">
        <v>29</v>
      </c>
      <c r="C1127" s="24">
        <f t="shared" si="448"/>
        <v>0</v>
      </c>
      <c r="D1127" s="30"/>
      <c r="E1127" s="30"/>
      <c r="F1127" s="30"/>
      <c r="G1127" s="30"/>
      <c r="H1127" s="31"/>
      <c r="I1127" s="31"/>
      <c r="J1127" s="31"/>
      <c r="K1127" s="31"/>
      <c r="L1127" s="24">
        <f t="shared" si="449"/>
        <v>0</v>
      </c>
      <c r="M1127" s="30"/>
      <c r="N1127" s="30"/>
      <c r="O1127" s="30"/>
      <c r="P1127" s="30"/>
    </row>
    <row r="1128" spans="1:16" s="1" customFormat="1">
      <c r="A1128" s="28"/>
      <c r="B1128" s="38" t="s">
        <v>30</v>
      </c>
      <c r="C1128" s="24">
        <f t="shared" si="448"/>
        <v>0</v>
      </c>
      <c r="D1128" s="30">
        <v>114387.32</v>
      </c>
      <c r="E1128" s="30"/>
      <c r="F1128" s="30"/>
      <c r="G1128" s="30"/>
      <c r="H1128" s="31"/>
      <c r="I1128" s="31"/>
      <c r="J1128" s="31"/>
      <c r="K1128" s="31"/>
      <c r="L1128" s="24">
        <f t="shared" si="449"/>
        <v>0</v>
      </c>
      <c r="M1128" s="30">
        <v>114387.32</v>
      </c>
      <c r="N1128" s="30"/>
      <c r="O1128" s="30"/>
      <c r="P1128" s="30"/>
    </row>
    <row r="1129" spans="1:16" s="1" customFormat="1">
      <c r="A1129" s="28"/>
      <c r="B1129" s="38" t="s">
        <v>31</v>
      </c>
      <c r="C1129" s="24">
        <f t="shared" si="448"/>
        <v>0</v>
      </c>
      <c r="D1129" s="30">
        <f>137428.71</f>
        <v>137428.71</v>
      </c>
      <c r="E1129" s="30"/>
      <c r="F1129" s="30"/>
      <c r="G1129" s="30"/>
      <c r="H1129" s="31"/>
      <c r="I1129" s="31"/>
      <c r="J1129" s="31"/>
      <c r="K1129" s="31"/>
      <c r="L1129" s="24">
        <f t="shared" si="449"/>
        <v>0</v>
      </c>
      <c r="M1129" s="30">
        <f>137428.71</f>
        <v>137428.71</v>
      </c>
      <c r="N1129" s="30"/>
      <c r="O1129" s="30"/>
      <c r="P1129" s="30"/>
    </row>
    <row r="1130" spans="1:16" s="1" customFormat="1" ht="30">
      <c r="A1130" s="28"/>
      <c r="B1130" s="39" t="s">
        <v>32</v>
      </c>
      <c r="C1130" s="24">
        <f t="shared" si="448"/>
        <v>0</v>
      </c>
      <c r="D1130" s="30"/>
      <c r="E1130" s="30"/>
      <c r="F1130" s="30"/>
      <c r="G1130" s="30"/>
      <c r="H1130" s="31"/>
      <c r="I1130" s="31"/>
      <c r="J1130" s="31"/>
      <c r="K1130" s="31"/>
      <c r="L1130" s="24">
        <f t="shared" si="449"/>
        <v>0</v>
      </c>
      <c r="M1130" s="30"/>
      <c r="N1130" s="30"/>
      <c r="O1130" s="30"/>
      <c r="P1130" s="30"/>
    </row>
    <row r="1131" spans="1:16" s="1" customFormat="1" ht="30">
      <c r="A1131" s="28"/>
      <c r="B1131" s="39" t="s">
        <v>33</v>
      </c>
      <c r="C1131" s="24">
        <f t="shared" si="448"/>
        <v>0</v>
      </c>
      <c r="D1131" s="30">
        <f>14883.32+6482.37</f>
        <v>21365.69</v>
      </c>
      <c r="E1131" s="30"/>
      <c r="F1131" s="30"/>
      <c r="G1131" s="30"/>
      <c r="H1131" s="31"/>
      <c r="I1131" s="31"/>
      <c r="J1131" s="31"/>
      <c r="K1131" s="31"/>
      <c r="L1131" s="24">
        <f t="shared" si="449"/>
        <v>0</v>
      </c>
      <c r="M1131" s="30">
        <f>14883.32+6482.37</f>
        <v>21365.69</v>
      </c>
      <c r="N1131" s="30"/>
      <c r="O1131" s="30"/>
      <c r="P1131" s="30"/>
    </row>
    <row r="1132" spans="1:16" s="1" customFormat="1" ht="30">
      <c r="A1132" s="28"/>
      <c r="B1132" s="40" t="s">
        <v>34</v>
      </c>
      <c r="C1132" s="24">
        <f t="shared" si="448"/>
        <v>0</v>
      </c>
      <c r="D1132" s="30"/>
      <c r="E1132" s="30"/>
      <c r="F1132" s="30"/>
      <c r="G1132" s="30"/>
      <c r="H1132" s="31"/>
      <c r="I1132" s="31"/>
      <c r="J1132" s="31"/>
      <c r="K1132" s="31"/>
      <c r="L1132" s="24">
        <f t="shared" si="449"/>
        <v>0</v>
      </c>
      <c r="M1132" s="30"/>
      <c r="N1132" s="30"/>
      <c r="O1132" s="30"/>
      <c r="P1132" s="30"/>
    </row>
    <row r="1133" spans="1:16" s="1" customFormat="1">
      <c r="A1133" s="28"/>
      <c r="B1133" s="40" t="s">
        <v>35</v>
      </c>
      <c r="C1133" s="24">
        <f t="shared" si="448"/>
        <v>249794.63999999998</v>
      </c>
      <c r="D1133" s="30">
        <f>27029+17000+19800</f>
        <v>63829</v>
      </c>
      <c r="E1133" s="30">
        <v>4582.8</v>
      </c>
      <c r="F1133" s="30"/>
      <c r="G1133" s="30">
        <v>245211.84</v>
      </c>
      <c r="H1133" s="31"/>
      <c r="I1133" s="31"/>
      <c r="J1133" s="31"/>
      <c r="K1133" s="31"/>
      <c r="L1133" s="24">
        <f t="shared" si="449"/>
        <v>0</v>
      </c>
      <c r="M1133" s="30">
        <f>27029+17000+19800</f>
        <v>63829</v>
      </c>
      <c r="N1133" s="30"/>
      <c r="O1133" s="30"/>
      <c r="P1133" s="30"/>
    </row>
    <row r="1134" spans="1:16" s="1" customFormat="1" ht="30">
      <c r="A1134" s="28"/>
      <c r="B1134" s="41" t="s">
        <v>36</v>
      </c>
      <c r="C1134" s="24">
        <f t="shared" si="448"/>
        <v>0</v>
      </c>
      <c r="D1134" s="30"/>
      <c r="E1134" s="30"/>
      <c r="F1134" s="30"/>
      <c r="G1134" s="30"/>
      <c r="H1134" s="31"/>
      <c r="I1134" s="31"/>
      <c r="J1134" s="31"/>
      <c r="K1134" s="31"/>
      <c r="L1134" s="24">
        <f t="shared" si="449"/>
        <v>0</v>
      </c>
      <c r="M1134" s="30"/>
      <c r="N1134" s="30"/>
      <c r="O1134" s="30"/>
      <c r="P1134" s="30"/>
    </row>
    <row r="1135" spans="1:16" s="1" customFormat="1">
      <c r="A1135" s="28"/>
      <c r="B1135" s="42" t="s">
        <v>37</v>
      </c>
      <c r="C1135" s="24">
        <f t="shared" si="448"/>
        <v>55501.56</v>
      </c>
      <c r="D1135" s="30"/>
      <c r="E1135" s="30">
        <f>55080.56+421</f>
        <v>55501.56</v>
      </c>
      <c r="F1135" s="30"/>
      <c r="G1135" s="30"/>
      <c r="H1135" s="31"/>
      <c r="I1135" s="31"/>
      <c r="J1135" s="31"/>
      <c r="K1135" s="31"/>
      <c r="L1135" s="24">
        <f t="shared" si="449"/>
        <v>0</v>
      </c>
      <c r="M1135" s="30"/>
      <c r="N1135" s="30"/>
      <c r="O1135" s="30"/>
      <c r="P1135" s="30"/>
    </row>
    <row r="1136" spans="1:16" s="1" customFormat="1" ht="30">
      <c r="A1136" s="28"/>
      <c r="B1136" s="42" t="s">
        <v>38</v>
      </c>
      <c r="C1136" s="24">
        <f t="shared" si="448"/>
        <v>0</v>
      </c>
      <c r="D1136" s="30">
        <f>100000+412290+201597.5</f>
        <v>713887.5</v>
      </c>
      <c r="E1136" s="30"/>
      <c r="F1136" s="30"/>
      <c r="G1136" s="30"/>
      <c r="H1136" s="31"/>
      <c r="I1136" s="31"/>
      <c r="J1136" s="31"/>
      <c r="K1136" s="31"/>
      <c r="L1136" s="24">
        <f t="shared" si="449"/>
        <v>0</v>
      </c>
      <c r="M1136" s="30">
        <f>100000+412290+201597.5</f>
        <v>713887.5</v>
      </c>
      <c r="N1136" s="30"/>
      <c r="O1136" s="30"/>
      <c r="P1136" s="30"/>
    </row>
    <row r="1137" spans="1:16" s="1" customFormat="1" ht="30">
      <c r="A1137" s="28"/>
      <c r="B1137" s="43" t="s">
        <v>39</v>
      </c>
      <c r="C1137" s="36">
        <f t="shared" ref="C1137:G1137" si="450">SUM(C1138:C1144)</f>
        <v>0</v>
      </c>
      <c r="D1137" s="36">
        <f t="shared" si="450"/>
        <v>115700</v>
      </c>
      <c r="E1137" s="36">
        <f t="shared" si="450"/>
        <v>0</v>
      </c>
      <c r="F1137" s="36">
        <f t="shared" si="450"/>
        <v>0</v>
      </c>
      <c r="G1137" s="36">
        <f t="shared" si="450"/>
        <v>0</v>
      </c>
      <c r="H1137" s="31"/>
      <c r="I1137" s="31"/>
      <c r="J1137" s="31"/>
      <c r="K1137" s="31"/>
      <c r="L1137" s="36">
        <f t="shared" ref="L1137:P1137" si="451">SUM(L1138:L1144)</f>
        <v>0</v>
      </c>
      <c r="M1137" s="36">
        <f t="shared" si="451"/>
        <v>115700</v>
      </c>
      <c r="N1137" s="36">
        <f t="shared" si="451"/>
        <v>0</v>
      </c>
      <c r="O1137" s="36">
        <f t="shared" si="451"/>
        <v>0</v>
      </c>
      <c r="P1137" s="36">
        <f t="shared" si="451"/>
        <v>0</v>
      </c>
    </row>
    <row r="1138" spans="1:16" s="1" customFormat="1" ht="30">
      <c r="A1138" s="28" t="s">
        <v>40</v>
      </c>
      <c r="B1138" s="39" t="s">
        <v>41</v>
      </c>
      <c r="C1138" s="24">
        <f t="shared" ref="C1138:C1144" si="452">E1138+F1138+G1138</f>
        <v>0</v>
      </c>
      <c r="D1138" s="30"/>
      <c r="E1138" s="30"/>
      <c r="F1138" s="30"/>
      <c r="G1138" s="30"/>
      <c r="H1138" s="31"/>
      <c r="I1138" s="31"/>
      <c r="J1138" s="31"/>
      <c r="K1138" s="31"/>
      <c r="L1138" s="24">
        <f t="shared" ref="L1138:L1144" si="453">N1138+O1138+P1138</f>
        <v>0</v>
      </c>
      <c r="M1138" s="30"/>
      <c r="N1138" s="30"/>
      <c r="O1138" s="30"/>
      <c r="P1138" s="30"/>
    </row>
    <row r="1139" spans="1:16" s="1" customFormat="1">
      <c r="A1139" s="28"/>
      <c r="B1139" s="39" t="s">
        <v>42</v>
      </c>
      <c r="C1139" s="24">
        <f t="shared" si="452"/>
        <v>0</v>
      </c>
      <c r="D1139" s="30"/>
      <c r="E1139" s="30"/>
      <c r="F1139" s="30"/>
      <c r="G1139" s="30"/>
      <c r="H1139" s="31"/>
      <c r="I1139" s="31"/>
      <c r="J1139" s="31"/>
      <c r="K1139" s="31"/>
      <c r="L1139" s="24">
        <f t="shared" si="453"/>
        <v>0</v>
      </c>
      <c r="M1139" s="30"/>
      <c r="N1139" s="30"/>
      <c r="O1139" s="30"/>
      <c r="P1139" s="30"/>
    </row>
    <row r="1140" spans="1:16" s="1" customFormat="1">
      <c r="A1140" s="28"/>
      <c r="B1140" s="39" t="s">
        <v>43</v>
      </c>
      <c r="C1140" s="24">
        <f t="shared" si="452"/>
        <v>0</v>
      </c>
      <c r="D1140" s="30"/>
      <c r="E1140" s="30"/>
      <c r="F1140" s="30"/>
      <c r="G1140" s="30"/>
      <c r="H1140" s="31"/>
      <c r="I1140" s="31"/>
      <c r="J1140" s="31"/>
      <c r="K1140" s="31"/>
      <c r="L1140" s="24">
        <f t="shared" si="453"/>
        <v>0</v>
      </c>
      <c r="M1140" s="30"/>
      <c r="N1140" s="30"/>
      <c r="O1140" s="30"/>
      <c r="P1140" s="30"/>
    </row>
    <row r="1141" spans="1:16" s="1" customFormat="1">
      <c r="A1141" s="28"/>
      <c r="B1141" s="39" t="s">
        <v>44</v>
      </c>
      <c r="C1141" s="24">
        <f t="shared" si="452"/>
        <v>0</v>
      </c>
      <c r="D1141" s="30"/>
      <c r="E1141" s="30"/>
      <c r="F1141" s="30"/>
      <c r="G1141" s="30"/>
      <c r="H1141" s="31"/>
      <c r="I1141" s="31"/>
      <c r="J1141" s="31"/>
      <c r="K1141" s="31"/>
      <c r="L1141" s="24">
        <f t="shared" si="453"/>
        <v>0</v>
      </c>
      <c r="M1141" s="30"/>
      <c r="N1141" s="30"/>
      <c r="O1141" s="30"/>
      <c r="P1141" s="30"/>
    </row>
    <row r="1142" spans="1:16" s="1" customFormat="1">
      <c r="A1142" s="28"/>
      <c r="B1142" s="39" t="s">
        <v>45</v>
      </c>
      <c r="C1142" s="24">
        <f t="shared" si="452"/>
        <v>0</v>
      </c>
      <c r="D1142" s="30"/>
      <c r="E1142" s="30"/>
      <c r="F1142" s="30"/>
      <c r="G1142" s="30"/>
      <c r="H1142" s="31"/>
      <c r="I1142" s="31"/>
      <c r="J1142" s="31"/>
      <c r="K1142" s="31"/>
      <c r="L1142" s="24">
        <f t="shared" si="453"/>
        <v>0</v>
      </c>
      <c r="M1142" s="30"/>
      <c r="N1142" s="30"/>
      <c r="O1142" s="30"/>
      <c r="P1142" s="30"/>
    </row>
    <row r="1143" spans="1:16" s="1" customFormat="1" ht="30">
      <c r="A1143" s="28"/>
      <c r="B1143" s="39" t="s">
        <v>46</v>
      </c>
      <c r="C1143" s="24">
        <f t="shared" si="452"/>
        <v>0</v>
      </c>
      <c r="D1143" s="30"/>
      <c r="E1143" s="30"/>
      <c r="F1143" s="30"/>
      <c r="G1143" s="30"/>
      <c r="H1143" s="31"/>
      <c r="I1143" s="31"/>
      <c r="J1143" s="31"/>
      <c r="K1143" s="31"/>
      <c r="L1143" s="24">
        <f t="shared" si="453"/>
        <v>0</v>
      </c>
      <c r="M1143" s="30"/>
      <c r="N1143" s="30"/>
      <c r="O1143" s="30"/>
      <c r="P1143" s="30"/>
    </row>
    <row r="1144" spans="1:16" s="1" customFormat="1">
      <c r="A1144" s="28"/>
      <c r="B1144" s="39" t="s">
        <v>47</v>
      </c>
      <c r="C1144" s="24">
        <f t="shared" si="452"/>
        <v>0</v>
      </c>
      <c r="D1144" s="30">
        <v>115700</v>
      </c>
      <c r="E1144" s="30"/>
      <c r="F1144" s="30"/>
      <c r="G1144" s="30"/>
      <c r="H1144" s="31"/>
      <c r="I1144" s="31"/>
      <c r="J1144" s="31"/>
      <c r="K1144" s="31"/>
      <c r="L1144" s="24">
        <f t="shared" si="453"/>
        <v>0</v>
      </c>
      <c r="M1144" s="30">
        <v>115700</v>
      </c>
      <c r="N1144" s="30"/>
      <c r="O1144" s="30"/>
      <c r="P1144" s="30"/>
    </row>
    <row r="1145" spans="1:16" s="1" customFormat="1" ht="36.75" customHeight="1">
      <c r="A1145" s="211" t="s">
        <v>3</v>
      </c>
      <c r="B1145" s="213" t="s">
        <v>4</v>
      </c>
      <c r="C1145" s="213" t="s">
        <v>5</v>
      </c>
      <c r="D1145" s="10" t="s">
        <v>6</v>
      </c>
      <c r="E1145" s="215" t="s">
        <v>7</v>
      </c>
      <c r="F1145" s="216"/>
      <c r="G1145" s="217"/>
      <c r="H1145" s="218" t="s">
        <v>8</v>
      </c>
      <c r="I1145" s="218"/>
      <c r="J1145" s="218"/>
      <c r="K1145" s="11"/>
      <c r="L1145" s="219" t="s">
        <v>9</v>
      </c>
      <c r="M1145" s="12" t="s">
        <v>6</v>
      </c>
      <c r="N1145" s="208" t="s">
        <v>10</v>
      </c>
      <c r="O1145" s="209"/>
      <c r="P1145" s="210"/>
    </row>
    <row r="1146" spans="1:16" s="1" customFormat="1" ht="47.25" customHeight="1">
      <c r="A1146" s="212"/>
      <c r="B1146" s="214"/>
      <c r="C1146" s="214"/>
      <c r="D1146" s="13" t="s">
        <v>11</v>
      </c>
      <c r="E1146" s="13" t="s">
        <v>12</v>
      </c>
      <c r="F1146" s="13" t="s">
        <v>13</v>
      </c>
      <c r="G1146" s="13" t="s">
        <v>14</v>
      </c>
      <c r="H1146" s="14" t="s">
        <v>15</v>
      </c>
      <c r="I1146" s="14" t="s">
        <v>16</v>
      </c>
      <c r="J1146" s="14" t="s">
        <v>17</v>
      </c>
      <c r="K1146" s="14" t="s">
        <v>18</v>
      </c>
      <c r="L1146" s="220"/>
      <c r="M1146" s="15" t="s">
        <v>11</v>
      </c>
      <c r="N1146" s="15" t="s">
        <v>12</v>
      </c>
      <c r="O1146" s="15" t="s">
        <v>13</v>
      </c>
      <c r="P1146" s="15" t="s">
        <v>14</v>
      </c>
    </row>
    <row r="1147" spans="1:16" s="1" customFormat="1">
      <c r="A1147" s="90">
        <v>17</v>
      </c>
      <c r="B1147" s="17" t="s">
        <v>86</v>
      </c>
      <c r="C1147" s="92">
        <f t="shared" ref="C1147:G1147" si="454">C1148+C1149+C1150+C1151+C1152+C1153+C1154+C1155+C1160+C1161+C1162+C1163+C1164+C1165+C1166+C1167</f>
        <v>167599.42999999996</v>
      </c>
      <c r="D1147" s="92">
        <f t="shared" si="454"/>
        <v>2342580.67</v>
      </c>
      <c r="E1147" s="92">
        <f t="shared" si="454"/>
        <v>43378.61</v>
      </c>
      <c r="F1147" s="92">
        <f t="shared" si="454"/>
        <v>124220.81999999999</v>
      </c>
      <c r="G1147" s="92">
        <f t="shared" si="454"/>
        <v>0</v>
      </c>
      <c r="H1147" s="82"/>
      <c r="I1147" s="83"/>
      <c r="J1147" s="83"/>
      <c r="K1147" s="84"/>
      <c r="L1147" s="92">
        <f t="shared" ref="L1147:P1147" si="455">L1148+L1149+L1150+L1151+L1152+L1153+L1154+L1155+L1160+L1161+L1162+L1163+L1164+L1165+L1166+L1167</f>
        <v>0</v>
      </c>
      <c r="M1147" s="92">
        <f t="shared" si="455"/>
        <v>2342580.67</v>
      </c>
      <c r="N1147" s="92">
        <f t="shared" si="455"/>
        <v>0</v>
      </c>
      <c r="O1147" s="92">
        <f t="shared" si="455"/>
        <v>0</v>
      </c>
      <c r="P1147" s="92">
        <f t="shared" si="455"/>
        <v>0</v>
      </c>
    </row>
    <row r="1148" spans="1:16" s="1" customFormat="1">
      <c r="A1148" s="22"/>
      <c r="B1148" s="23" t="s">
        <v>20</v>
      </c>
      <c r="C1148" s="24">
        <f t="shared" ref="C1148:C1154" si="456">E1148+F1148+G1148</f>
        <v>108817.23</v>
      </c>
      <c r="D1148" s="25"/>
      <c r="E1148" s="25"/>
      <c r="F1148" s="25">
        <v>108817.23</v>
      </c>
      <c r="G1148" s="25"/>
      <c r="H1148" s="26"/>
      <c r="I1148" s="24"/>
      <c r="J1148" s="24"/>
      <c r="K1148" s="27"/>
      <c r="L1148" s="24">
        <f t="shared" ref="L1148:L1154" si="457">N1148+O1148+P1148</f>
        <v>0</v>
      </c>
      <c r="M1148" s="25"/>
      <c r="N1148" s="25"/>
      <c r="O1148" s="25"/>
      <c r="P1148" s="25"/>
    </row>
    <row r="1149" spans="1:16" s="1" customFormat="1">
      <c r="A1149" s="28"/>
      <c r="B1149" s="29" t="s">
        <v>21</v>
      </c>
      <c r="C1149" s="24">
        <f t="shared" si="456"/>
        <v>4530</v>
      </c>
      <c r="D1149" s="25">
        <v>79019.83</v>
      </c>
      <c r="E1149" s="30"/>
      <c r="F1149" s="30">
        <v>4530</v>
      </c>
      <c r="G1149" s="30"/>
      <c r="H1149" s="31"/>
      <c r="I1149" s="31"/>
      <c r="J1149" s="31"/>
      <c r="K1149" s="31"/>
      <c r="L1149" s="24">
        <f t="shared" si="457"/>
        <v>0</v>
      </c>
      <c r="M1149" s="25">
        <v>79019.83</v>
      </c>
      <c r="N1149" s="30"/>
      <c r="O1149" s="30"/>
      <c r="P1149" s="30"/>
    </row>
    <row r="1150" spans="1:16" s="1" customFormat="1">
      <c r="A1150" s="28"/>
      <c r="B1150" s="32" t="s">
        <v>22</v>
      </c>
      <c r="C1150" s="24">
        <f t="shared" si="456"/>
        <v>0</v>
      </c>
      <c r="D1150" s="30"/>
      <c r="E1150" s="30"/>
      <c r="F1150" s="30"/>
      <c r="G1150" s="30"/>
      <c r="H1150" s="31"/>
      <c r="I1150" s="31"/>
      <c r="J1150" s="31"/>
      <c r="K1150" s="31"/>
      <c r="L1150" s="24">
        <f t="shared" si="457"/>
        <v>0</v>
      </c>
      <c r="M1150" s="30"/>
      <c r="N1150" s="30"/>
      <c r="O1150" s="30"/>
      <c r="P1150" s="30"/>
    </row>
    <row r="1151" spans="1:16" s="1" customFormat="1">
      <c r="A1151" s="28"/>
      <c r="B1151" s="32" t="s">
        <v>23</v>
      </c>
      <c r="C1151" s="24">
        <f t="shared" si="456"/>
        <v>25644.26</v>
      </c>
      <c r="D1151" s="30">
        <v>23804.67</v>
      </c>
      <c r="E1151" s="30">
        <v>25644.26</v>
      </c>
      <c r="F1151" s="30"/>
      <c r="G1151" s="30"/>
      <c r="H1151" s="31"/>
      <c r="I1151" s="31"/>
      <c r="J1151" s="31"/>
      <c r="K1151" s="31"/>
      <c r="L1151" s="24">
        <f t="shared" si="457"/>
        <v>0</v>
      </c>
      <c r="M1151" s="30">
        <v>23804.67</v>
      </c>
      <c r="N1151" s="30"/>
      <c r="O1151" s="30"/>
      <c r="P1151" s="30"/>
    </row>
    <row r="1152" spans="1:16" s="1" customFormat="1">
      <c r="A1152" s="28"/>
      <c r="B1152" s="29" t="s">
        <v>24</v>
      </c>
      <c r="C1152" s="24">
        <f t="shared" si="456"/>
        <v>14715.65</v>
      </c>
      <c r="D1152" s="30">
        <f>487555.04+59775.82</f>
        <v>547330.86</v>
      </c>
      <c r="E1152" s="30">
        <f>121.41+3720.65</f>
        <v>3842.06</v>
      </c>
      <c r="F1152" s="30">
        <f>69.67+811.8+9992.12</f>
        <v>10873.59</v>
      </c>
      <c r="G1152" s="30"/>
      <c r="H1152" s="31"/>
      <c r="I1152" s="31"/>
      <c r="J1152" s="31"/>
      <c r="K1152" s="31"/>
      <c r="L1152" s="24">
        <f t="shared" si="457"/>
        <v>0</v>
      </c>
      <c r="M1152" s="30">
        <f>487555.04+59775.82</f>
        <v>547330.86</v>
      </c>
      <c r="N1152" s="30"/>
      <c r="O1152" s="30"/>
      <c r="P1152" s="30"/>
    </row>
    <row r="1153" spans="1:16" s="1" customFormat="1">
      <c r="A1153" s="28"/>
      <c r="B1153" s="34" t="s">
        <v>25</v>
      </c>
      <c r="C1153" s="24">
        <f t="shared" si="456"/>
        <v>528</v>
      </c>
      <c r="D1153" s="30">
        <v>382.96</v>
      </c>
      <c r="E1153" s="30">
        <v>528</v>
      </c>
      <c r="F1153" s="30"/>
      <c r="G1153" s="30"/>
      <c r="H1153" s="31"/>
      <c r="I1153" s="31"/>
      <c r="J1153" s="31"/>
      <c r="K1153" s="31"/>
      <c r="L1153" s="24">
        <f t="shared" si="457"/>
        <v>0</v>
      </c>
      <c r="M1153" s="30">
        <v>382.96</v>
      </c>
      <c r="N1153" s="30"/>
      <c r="O1153" s="30"/>
      <c r="P1153" s="30"/>
    </row>
    <row r="1154" spans="1:16" s="1" customFormat="1">
      <c r="A1154" s="28"/>
      <c r="B1154" s="32" t="s">
        <v>26</v>
      </c>
      <c r="C1154" s="24">
        <f t="shared" si="456"/>
        <v>0</v>
      </c>
      <c r="D1154" s="30"/>
      <c r="E1154" s="30"/>
      <c r="F1154" s="30"/>
      <c r="G1154" s="30"/>
      <c r="H1154" s="31"/>
      <c r="I1154" s="31"/>
      <c r="J1154" s="31"/>
      <c r="K1154" s="31"/>
      <c r="L1154" s="24">
        <f t="shared" si="457"/>
        <v>0</v>
      </c>
      <c r="M1154" s="30"/>
      <c r="N1154" s="30"/>
      <c r="O1154" s="30"/>
      <c r="P1154" s="30"/>
    </row>
    <row r="1155" spans="1:16" s="1" customFormat="1" ht="30">
      <c r="A1155" s="28"/>
      <c r="B1155" s="35" t="s">
        <v>27</v>
      </c>
      <c r="C1155" s="36">
        <f t="shared" ref="C1155:G1155" si="458">SUM(C1156:C1159)</f>
        <v>7745.8899999999994</v>
      </c>
      <c r="D1155" s="36">
        <f t="shared" si="458"/>
        <v>270522.34999999998</v>
      </c>
      <c r="E1155" s="36">
        <f t="shared" si="458"/>
        <v>7745.8899999999994</v>
      </c>
      <c r="F1155" s="36">
        <f t="shared" si="458"/>
        <v>0</v>
      </c>
      <c r="G1155" s="36">
        <f t="shared" si="458"/>
        <v>0</v>
      </c>
      <c r="H1155" s="31"/>
      <c r="I1155" s="31"/>
      <c r="J1155" s="31"/>
      <c r="K1155" s="31"/>
      <c r="L1155" s="36">
        <f t="shared" ref="L1155:P1155" si="459">SUM(L1156:L1159)</f>
        <v>0</v>
      </c>
      <c r="M1155" s="36">
        <f t="shared" si="459"/>
        <v>270522.34999999998</v>
      </c>
      <c r="N1155" s="36">
        <f t="shared" si="459"/>
        <v>0</v>
      </c>
      <c r="O1155" s="36">
        <f t="shared" si="459"/>
        <v>0</v>
      </c>
      <c r="P1155" s="36">
        <f t="shared" si="459"/>
        <v>0</v>
      </c>
    </row>
    <row r="1156" spans="1:16" s="1" customFormat="1">
      <c r="A1156" s="28"/>
      <c r="B1156" s="38" t="s">
        <v>28</v>
      </c>
      <c r="C1156" s="24">
        <f t="shared" ref="C1156:C1166" si="460">E1156+F1156+G1156</f>
        <v>0</v>
      </c>
      <c r="D1156" s="30">
        <v>214636.5</v>
      </c>
      <c r="E1156" s="30"/>
      <c r="F1156" s="30"/>
      <c r="G1156" s="30"/>
      <c r="H1156" s="31"/>
      <c r="I1156" s="31"/>
      <c r="J1156" s="31"/>
      <c r="K1156" s="31"/>
      <c r="L1156" s="24">
        <f t="shared" ref="L1156:L1166" si="461">N1156+O1156+P1156</f>
        <v>0</v>
      </c>
      <c r="M1156" s="30">
        <v>214636.5</v>
      </c>
      <c r="N1156" s="30"/>
      <c r="O1156" s="30"/>
      <c r="P1156" s="30"/>
    </row>
    <row r="1157" spans="1:16" s="1" customFormat="1">
      <c r="A1157" s="28"/>
      <c r="B1157" s="38" t="s">
        <v>29</v>
      </c>
      <c r="C1157" s="24">
        <f t="shared" si="460"/>
        <v>5411.17</v>
      </c>
      <c r="D1157" s="30"/>
      <c r="E1157" s="30">
        <v>5411.17</v>
      </c>
      <c r="F1157" s="30"/>
      <c r="G1157" s="30"/>
      <c r="H1157" s="31"/>
      <c r="I1157" s="31"/>
      <c r="J1157" s="31"/>
      <c r="K1157" s="31"/>
      <c r="L1157" s="24">
        <f t="shared" si="461"/>
        <v>0</v>
      </c>
      <c r="M1157" s="30"/>
      <c r="N1157" s="30"/>
      <c r="O1157" s="30"/>
      <c r="P1157" s="30"/>
    </row>
    <row r="1158" spans="1:16" s="1" customFormat="1">
      <c r="A1158" s="28"/>
      <c r="B1158" s="38" t="s">
        <v>30</v>
      </c>
      <c r="C1158" s="24">
        <f t="shared" si="460"/>
        <v>2334.7199999999998</v>
      </c>
      <c r="D1158" s="30">
        <v>13084.36</v>
      </c>
      <c r="E1158" s="30">
        <v>2334.7199999999998</v>
      </c>
      <c r="F1158" s="30"/>
      <c r="G1158" s="30"/>
      <c r="H1158" s="31"/>
      <c r="I1158" s="31"/>
      <c r="J1158" s="31"/>
      <c r="K1158" s="31"/>
      <c r="L1158" s="24">
        <f t="shared" si="461"/>
        <v>0</v>
      </c>
      <c r="M1158" s="30">
        <v>13084.36</v>
      </c>
      <c r="N1158" s="30"/>
      <c r="O1158" s="30"/>
      <c r="P1158" s="30"/>
    </row>
    <row r="1159" spans="1:16" s="1" customFormat="1">
      <c r="A1159" s="28"/>
      <c r="B1159" s="38" t="s">
        <v>31</v>
      </c>
      <c r="C1159" s="24">
        <f t="shared" si="460"/>
        <v>0</v>
      </c>
      <c r="D1159" s="30">
        <v>42801.49</v>
      </c>
      <c r="E1159" s="30"/>
      <c r="F1159" s="30"/>
      <c r="G1159" s="30"/>
      <c r="H1159" s="31"/>
      <c r="I1159" s="31"/>
      <c r="J1159" s="31"/>
      <c r="K1159" s="31"/>
      <c r="L1159" s="24">
        <f t="shared" si="461"/>
        <v>0</v>
      </c>
      <c r="M1159" s="30">
        <v>42801.49</v>
      </c>
      <c r="N1159" s="30"/>
      <c r="O1159" s="30"/>
      <c r="P1159" s="30"/>
    </row>
    <row r="1160" spans="1:16" s="1" customFormat="1" ht="30">
      <c r="A1160" s="28"/>
      <c r="B1160" s="39" t="s">
        <v>32</v>
      </c>
      <c r="C1160" s="24">
        <f t="shared" si="460"/>
        <v>0</v>
      </c>
      <c r="D1160" s="30"/>
      <c r="E1160" s="30"/>
      <c r="F1160" s="30"/>
      <c r="G1160" s="30"/>
      <c r="H1160" s="31"/>
      <c r="I1160" s="31"/>
      <c r="J1160" s="31"/>
      <c r="K1160" s="31"/>
      <c r="L1160" s="24">
        <f t="shared" si="461"/>
        <v>0</v>
      </c>
      <c r="M1160" s="30"/>
      <c r="N1160" s="30"/>
      <c r="O1160" s="30"/>
      <c r="P1160" s="30"/>
    </row>
    <row r="1161" spans="1:16" s="1" customFormat="1" ht="30">
      <c r="A1161" s="28"/>
      <c r="B1161" s="39" t="s">
        <v>33</v>
      </c>
      <c r="C1161" s="24">
        <f t="shared" si="460"/>
        <v>0</v>
      </c>
      <c r="D1161" s="30"/>
      <c r="E1161" s="30"/>
      <c r="F1161" s="30"/>
      <c r="G1161" s="30"/>
      <c r="H1161" s="31"/>
      <c r="I1161" s="31"/>
      <c r="J1161" s="31"/>
      <c r="K1161" s="31"/>
      <c r="L1161" s="24">
        <f t="shared" si="461"/>
        <v>0</v>
      </c>
      <c r="M1161" s="30"/>
      <c r="N1161" s="30"/>
      <c r="O1161" s="30"/>
      <c r="P1161" s="30"/>
    </row>
    <row r="1162" spans="1:16" s="1" customFormat="1" ht="30">
      <c r="A1162" s="28"/>
      <c r="B1162" s="40" t="s">
        <v>34</v>
      </c>
      <c r="C1162" s="24">
        <f t="shared" si="460"/>
        <v>0</v>
      </c>
      <c r="D1162" s="30"/>
      <c r="E1162" s="30"/>
      <c r="F1162" s="30"/>
      <c r="G1162" s="30"/>
      <c r="H1162" s="31"/>
      <c r="I1162" s="31"/>
      <c r="J1162" s="31"/>
      <c r="K1162" s="31"/>
      <c r="L1162" s="24">
        <f t="shared" si="461"/>
        <v>0</v>
      </c>
      <c r="M1162" s="30"/>
      <c r="N1162" s="30"/>
      <c r="O1162" s="30"/>
      <c r="P1162" s="30"/>
    </row>
    <row r="1163" spans="1:16" s="1" customFormat="1">
      <c r="A1163" s="28"/>
      <c r="B1163" s="40" t="s">
        <v>35</v>
      </c>
      <c r="C1163" s="24">
        <f t="shared" si="460"/>
        <v>0</v>
      </c>
      <c r="D1163" s="30">
        <f>28240+500</f>
        <v>28740</v>
      </c>
      <c r="E1163" s="30"/>
      <c r="F1163" s="30"/>
      <c r="G1163" s="30"/>
      <c r="H1163" s="31"/>
      <c r="I1163" s="31"/>
      <c r="J1163" s="31"/>
      <c r="K1163" s="31"/>
      <c r="L1163" s="24">
        <f t="shared" si="461"/>
        <v>0</v>
      </c>
      <c r="M1163" s="30">
        <f>28240+500</f>
        <v>28740</v>
      </c>
      <c r="N1163" s="30"/>
      <c r="O1163" s="30"/>
      <c r="P1163" s="30"/>
    </row>
    <row r="1164" spans="1:16" s="1" customFormat="1" ht="30">
      <c r="A1164" s="28"/>
      <c r="B1164" s="41" t="s">
        <v>36</v>
      </c>
      <c r="C1164" s="24">
        <f t="shared" si="460"/>
        <v>0</v>
      </c>
      <c r="D1164" s="30"/>
      <c r="E1164" s="30"/>
      <c r="F1164" s="30"/>
      <c r="G1164" s="30"/>
      <c r="H1164" s="31"/>
      <c r="I1164" s="31"/>
      <c r="J1164" s="31"/>
      <c r="K1164" s="31"/>
      <c r="L1164" s="24">
        <f t="shared" si="461"/>
        <v>0</v>
      </c>
      <c r="M1164" s="30"/>
      <c r="N1164" s="30"/>
      <c r="O1164" s="30"/>
      <c r="P1164" s="30"/>
    </row>
    <row r="1165" spans="1:16" s="1" customFormat="1">
      <c r="A1165" s="28"/>
      <c r="B1165" s="42" t="s">
        <v>37</v>
      </c>
      <c r="C1165" s="24">
        <f t="shared" si="460"/>
        <v>5618.4</v>
      </c>
      <c r="D1165" s="30">
        <v>79865</v>
      </c>
      <c r="E1165" s="30">
        <v>5618.4</v>
      </c>
      <c r="F1165" s="30"/>
      <c r="G1165" s="30"/>
      <c r="H1165" s="31"/>
      <c r="I1165" s="31"/>
      <c r="J1165" s="31"/>
      <c r="K1165" s="31"/>
      <c r="L1165" s="24">
        <f t="shared" si="461"/>
        <v>0</v>
      </c>
      <c r="M1165" s="30">
        <v>79865</v>
      </c>
      <c r="N1165" s="30"/>
      <c r="O1165" s="30"/>
      <c r="P1165" s="30"/>
    </row>
    <row r="1166" spans="1:16" s="1" customFormat="1" ht="30">
      <c r="A1166" s="28"/>
      <c r="B1166" s="42" t="s">
        <v>38</v>
      </c>
      <c r="C1166" s="24">
        <f t="shared" si="460"/>
        <v>0</v>
      </c>
      <c r="D1166" s="30">
        <f>37898+4800+261319+866000</f>
        <v>1170017</v>
      </c>
      <c r="E1166" s="30"/>
      <c r="F1166" s="30"/>
      <c r="G1166" s="30"/>
      <c r="H1166" s="31"/>
      <c r="I1166" s="31"/>
      <c r="J1166" s="31"/>
      <c r="K1166" s="31"/>
      <c r="L1166" s="24">
        <f t="shared" si="461"/>
        <v>0</v>
      </c>
      <c r="M1166" s="30">
        <f>37898+4800+261319+866000</f>
        <v>1170017</v>
      </c>
      <c r="N1166" s="30"/>
      <c r="O1166" s="30"/>
      <c r="P1166" s="30"/>
    </row>
    <row r="1167" spans="1:16" s="1" customFormat="1" ht="30">
      <c r="A1167" s="28"/>
      <c r="B1167" s="43" t="s">
        <v>39</v>
      </c>
      <c r="C1167" s="36">
        <f t="shared" ref="C1167:G1167" si="462">SUM(C1168:C1174)</f>
        <v>0</v>
      </c>
      <c r="D1167" s="36">
        <f t="shared" si="462"/>
        <v>142898</v>
      </c>
      <c r="E1167" s="36">
        <f t="shared" si="462"/>
        <v>0</v>
      </c>
      <c r="F1167" s="36">
        <f t="shared" si="462"/>
        <v>0</v>
      </c>
      <c r="G1167" s="36">
        <f t="shared" si="462"/>
        <v>0</v>
      </c>
      <c r="H1167" s="31"/>
      <c r="I1167" s="31"/>
      <c r="J1167" s="31"/>
      <c r="K1167" s="31"/>
      <c r="L1167" s="36">
        <f t="shared" ref="L1167:P1167" si="463">SUM(L1168:L1174)</f>
        <v>0</v>
      </c>
      <c r="M1167" s="36">
        <f t="shared" si="463"/>
        <v>142898</v>
      </c>
      <c r="N1167" s="36">
        <f t="shared" si="463"/>
        <v>0</v>
      </c>
      <c r="O1167" s="36">
        <f t="shared" si="463"/>
        <v>0</v>
      </c>
      <c r="P1167" s="36">
        <f t="shared" si="463"/>
        <v>0</v>
      </c>
    </row>
    <row r="1168" spans="1:16" s="1" customFormat="1" ht="30">
      <c r="A1168" s="28" t="s">
        <v>40</v>
      </c>
      <c r="B1168" s="39" t="s">
        <v>41</v>
      </c>
      <c r="C1168" s="24">
        <f t="shared" ref="C1168:C1174" si="464">E1168+F1168+G1168</f>
        <v>0</v>
      </c>
      <c r="D1168" s="30"/>
      <c r="E1168" s="30"/>
      <c r="F1168" s="30"/>
      <c r="G1168" s="30"/>
      <c r="H1168" s="31"/>
      <c r="I1168" s="31"/>
      <c r="J1168" s="31"/>
      <c r="K1168" s="31"/>
      <c r="L1168" s="24">
        <f t="shared" ref="L1168:L1174" si="465">N1168+O1168+P1168</f>
        <v>0</v>
      </c>
      <c r="M1168" s="30"/>
      <c r="N1168" s="30"/>
      <c r="O1168" s="30"/>
      <c r="P1168" s="30"/>
    </row>
    <row r="1169" spans="1:16" s="1" customFormat="1">
      <c r="A1169" s="28"/>
      <c r="B1169" s="39" t="s">
        <v>42</v>
      </c>
      <c r="C1169" s="24">
        <f t="shared" si="464"/>
        <v>0</v>
      </c>
      <c r="D1169" s="30"/>
      <c r="E1169" s="30"/>
      <c r="F1169" s="30"/>
      <c r="G1169" s="30"/>
      <c r="H1169" s="31"/>
      <c r="I1169" s="31"/>
      <c r="J1169" s="31"/>
      <c r="K1169" s="31"/>
      <c r="L1169" s="24">
        <f t="shared" si="465"/>
        <v>0</v>
      </c>
      <c r="M1169" s="30"/>
      <c r="N1169" s="30"/>
      <c r="O1169" s="30"/>
      <c r="P1169" s="30"/>
    </row>
    <row r="1170" spans="1:16" s="1" customFormat="1">
      <c r="A1170" s="28"/>
      <c r="B1170" s="39" t="s">
        <v>43</v>
      </c>
      <c r="C1170" s="24">
        <f t="shared" si="464"/>
        <v>0</v>
      </c>
      <c r="D1170" s="30"/>
      <c r="E1170" s="30"/>
      <c r="F1170" s="30"/>
      <c r="G1170" s="30"/>
      <c r="H1170" s="31"/>
      <c r="I1170" s="31"/>
      <c r="J1170" s="31"/>
      <c r="K1170" s="31"/>
      <c r="L1170" s="24">
        <f t="shared" si="465"/>
        <v>0</v>
      </c>
      <c r="M1170" s="30"/>
      <c r="N1170" s="30"/>
      <c r="O1170" s="30"/>
      <c r="P1170" s="30"/>
    </row>
    <row r="1171" spans="1:16" s="1" customFormat="1">
      <c r="A1171" s="28"/>
      <c r="B1171" s="39" t="s">
        <v>44</v>
      </c>
      <c r="C1171" s="24">
        <f t="shared" si="464"/>
        <v>0</v>
      </c>
      <c r="D1171" s="30"/>
      <c r="E1171" s="30"/>
      <c r="F1171" s="30"/>
      <c r="G1171" s="30"/>
      <c r="H1171" s="31"/>
      <c r="I1171" s="31"/>
      <c r="J1171" s="31"/>
      <c r="K1171" s="31"/>
      <c r="L1171" s="24">
        <f t="shared" si="465"/>
        <v>0</v>
      </c>
      <c r="M1171" s="30"/>
      <c r="N1171" s="30"/>
      <c r="O1171" s="30"/>
      <c r="P1171" s="30"/>
    </row>
    <row r="1172" spans="1:16" s="1" customFormat="1">
      <c r="A1172" s="28"/>
      <c r="B1172" s="39" t="s">
        <v>45</v>
      </c>
      <c r="C1172" s="24">
        <f t="shared" si="464"/>
        <v>0</v>
      </c>
      <c r="D1172" s="30"/>
      <c r="E1172" s="30"/>
      <c r="F1172" s="30"/>
      <c r="G1172" s="30"/>
      <c r="H1172" s="31"/>
      <c r="I1172" s="31"/>
      <c r="J1172" s="31"/>
      <c r="K1172" s="31"/>
      <c r="L1172" s="24">
        <f t="shared" si="465"/>
        <v>0</v>
      </c>
      <c r="M1172" s="30"/>
      <c r="N1172" s="30"/>
      <c r="O1172" s="30"/>
      <c r="P1172" s="30"/>
    </row>
    <row r="1173" spans="1:16" s="1" customFormat="1" ht="30">
      <c r="A1173" s="28"/>
      <c r="B1173" s="39" t="s">
        <v>46</v>
      </c>
      <c r="C1173" s="24">
        <f t="shared" si="464"/>
        <v>0</v>
      </c>
      <c r="D1173" s="30"/>
      <c r="E1173" s="30"/>
      <c r="F1173" s="30"/>
      <c r="G1173" s="30"/>
      <c r="H1173" s="31"/>
      <c r="I1173" s="31"/>
      <c r="J1173" s="31"/>
      <c r="K1173" s="31"/>
      <c r="L1173" s="24">
        <f t="shared" si="465"/>
        <v>0</v>
      </c>
      <c r="M1173" s="30"/>
      <c r="N1173" s="30"/>
      <c r="O1173" s="30"/>
      <c r="P1173" s="30"/>
    </row>
    <row r="1174" spans="1:16" s="1" customFormat="1">
      <c r="A1174" s="28"/>
      <c r="B1174" s="39" t="s">
        <v>47</v>
      </c>
      <c r="C1174" s="24">
        <f t="shared" si="464"/>
        <v>0</v>
      </c>
      <c r="D1174" s="30">
        <f>106000+6898+30000</f>
        <v>142898</v>
      </c>
      <c r="E1174" s="30"/>
      <c r="F1174" s="30"/>
      <c r="G1174" s="30"/>
      <c r="H1174" s="31"/>
      <c r="I1174" s="31"/>
      <c r="J1174" s="31"/>
      <c r="K1174" s="31"/>
      <c r="L1174" s="24">
        <f t="shared" si="465"/>
        <v>0</v>
      </c>
      <c r="M1174" s="30">
        <f>106000+6898+30000</f>
        <v>142898</v>
      </c>
      <c r="N1174" s="30"/>
      <c r="O1174" s="30"/>
      <c r="P1174" s="30"/>
    </row>
    <row r="1175" spans="1:16" s="1" customFormat="1" ht="36.75" customHeight="1">
      <c r="A1175" s="211" t="s">
        <v>3</v>
      </c>
      <c r="B1175" s="213" t="s">
        <v>4</v>
      </c>
      <c r="C1175" s="213" t="s">
        <v>5</v>
      </c>
      <c r="D1175" s="10" t="s">
        <v>6</v>
      </c>
      <c r="E1175" s="215" t="s">
        <v>7</v>
      </c>
      <c r="F1175" s="216"/>
      <c r="G1175" s="217"/>
      <c r="H1175" s="218" t="s">
        <v>8</v>
      </c>
      <c r="I1175" s="218"/>
      <c r="J1175" s="218"/>
      <c r="K1175" s="11"/>
      <c r="L1175" s="219" t="s">
        <v>9</v>
      </c>
      <c r="M1175" s="12" t="s">
        <v>6</v>
      </c>
      <c r="N1175" s="208" t="s">
        <v>10</v>
      </c>
      <c r="O1175" s="209"/>
      <c r="P1175" s="210"/>
    </row>
    <row r="1176" spans="1:16" s="1" customFormat="1" ht="47.25" customHeight="1">
      <c r="A1176" s="212"/>
      <c r="B1176" s="214"/>
      <c r="C1176" s="214"/>
      <c r="D1176" s="13" t="s">
        <v>11</v>
      </c>
      <c r="E1176" s="13" t="s">
        <v>12</v>
      </c>
      <c r="F1176" s="13" t="s">
        <v>13</v>
      </c>
      <c r="G1176" s="13" t="s">
        <v>14</v>
      </c>
      <c r="H1176" s="14" t="s">
        <v>15</v>
      </c>
      <c r="I1176" s="14" t="s">
        <v>16</v>
      </c>
      <c r="J1176" s="14" t="s">
        <v>17</v>
      </c>
      <c r="K1176" s="14" t="s">
        <v>18</v>
      </c>
      <c r="L1176" s="220"/>
      <c r="M1176" s="15" t="s">
        <v>11</v>
      </c>
      <c r="N1176" s="15" t="s">
        <v>12</v>
      </c>
      <c r="O1176" s="15" t="s">
        <v>13</v>
      </c>
      <c r="P1176" s="15" t="s">
        <v>14</v>
      </c>
    </row>
    <row r="1177" spans="1:16" s="1" customFormat="1">
      <c r="A1177" s="90">
        <v>18</v>
      </c>
      <c r="B1177" s="53" t="s">
        <v>87</v>
      </c>
      <c r="C1177" s="92">
        <f t="shared" ref="C1177:G1177" si="466">C1178+C1179+C1180+C1181+C1182+C1183+C1184+C1185+C1190+C1191+C1192+C1193+C1194+C1195+C1196+C1197</f>
        <v>0</v>
      </c>
      <c r="D1177" s="92">
        <f t="shared" si="466"/>
        <v>1134094.79</v>
      </c>
      <c r="E1177" s="92">
        <f t="shared" si="466"/>
        <v>0</v>
      </c>
      <c r="F1177" s="92">
        <f t="shared" si="466"/>
        <v>0</v>
      </c>
      <c r="G1177" s="92">
        <f t="shared" si="466"/>
        <v>0</v>
      </c>
      <c r="H1177" s="82"/>
      <c r="I1177" s="83"/>
      <c r="J1177" s="83"/>
      <c r="K1177" s="84"/>
      <c r="L1177" s="92">
        <f t="shared" ref="L1177:P1177" si="467">L1178+L1179+L1180+L1181+L1182+L1183+L1184+L1185+L1190+L1191+L1192+L1193+L1194+L1195+L1196+L1197</f>
        <v>0</v>
      </c>
      <c r="M1177" s="92">
        <f t="shared" si="467"/>
        <v>1134094.79</v>
      </c>
      <c r="N1177" s="92">
        <f t="shared" si="467"/>
        <v>0</v>
      </c>
      <c r="O1177" s="92">
        <f t="shared" si="467"/>
        <v>0</v>
      </c>
      <c r="P1177" s="92">
        <f t="shared" si="467"/>
        <v>0</v>
      </c>
    </row>
    <row r="1178" spans="1:16" s="5" customFormat="1">
      <c r="A1178" s="22"/>
      <c r="B1178" s="23" t="s">
        <v>20</v>
      </c>
      <c r="C1178" s="24">
        <f t="shared" ref="C1178:C1184" si="468">E1178+F1178+G1178</f>
        <v>0</v>
      </c>
      <c r="D1178" s="25"/>
      <c r="E1178" s="25"/>
      <c r="F1178" s="25"/>
      <c r="G1178" s="25"/>
      <c r="H1178" s="26"/>
      <c r="I1178" s="24"/>
      <c r="J1178" s="24"/>
      <c r="K1178" s="27"/>
      <c r="L1178" s="24">
        <f t="shared" ref="L1178:L1184" si="469">N1178+O1178+P1178</f>
        <v>0</v>
      </c>
      <c r="M1178" s="25"/>
      <c r="N1178" s="25"/>
      <c r="O1178" s="25"/>
      <c r="P1178" s="25"/>
    </row>
    <row r="1179" spans="1:16" s="1" customFormat="1">
      <c r="A1179" s="28"/>
      <c r="B1179" s="29" t="s">
        <v>21</v>
      </c>
      <c r="C1179" s="24">
        <f t="shared" si="468"/>
        <v>0</v>
      </c>
      <c r="D1179" s="30"/>
      <c r="E1179" s="30"/>
      <c r="F1179" s="30"/>
      <c r="G1179" s="30"/>
      <c r="H1179" s="31"/>
      <c r="I1179" s="31"/>
      <c r="J1179" s="31"/>
      <c r="K1179" s="31"/>
      <c r="L1179" s="24">
        <f t="shared" si="469"/>
        <v>0</v>
      </c>
      <c r="M1179" s="30"/>
      <c r="N1179" s="30"/>
      <c r="O1179" s="30"/>
      <c r="P1179" s="30"/>
    </row>
    <row r="1180" spans="1:16" s="1" customFormat="1">
      <c r="A1180" s="28"/>
      <c r="B1180" s="32" t="s">
        <v>22</v>
      </c>
      <c r="C1180" s="24">
        <f t="shared" si="468"/>
        <v>0</v>
      </c>
      <c r="D1180" s="30"/>
      <c r="E1180" s="30"/>
      <c r="F1180" s="30"/>
      <c r="G1180" s="30"/>
      <c r="H1180" s="31"/>
      <c r="I1180" s="31"/>
      <c r="J1180" s="31"/>
      <c r="K1180" s="31"/>
      <c r="L1180" s="24">
        <f t="shared" si="469"/>
        <v>0</v>
      </c>
      <c r="M1180" s="30"/>
      <c r="N1180" s="30"/>
      <c r="O1180" s="30"/>
      <c r="P1180" s="30"/>
    </row>
    <row r="1181" spans="1:16" s="1" customFormat="1">
      <c r="A1181" s="28"/>
      <c r="B1181" s="32" t="s">
        <v>23</v>
      </c>
      <c r="C1181" s="24">
        <f t="shared" si="468"/>
        <v>0</v>
      </c>
      <c r="D1181" s="30">
        <v>35700</v>
      </c>
      <c r="E1181" s="30"/>
      <c r="F1181" s="30"/>
      <c r="G1181" s="30"/>
      <c r="H1181" s="31"/>
      <c r="I1181" s="31"/>
      <c r="J1181" s="31"/>
      <c r="K1181" s="31"/>
      <c r="L1181" s="24">
        <f t="shared" si="469"/>
        <v>0</v>
      </c>
      <c r="M1181" s="30">
        <v>35700</v>
      </c>
      <c r="N1181" s="30"/>
      <c r="O1181" s="30"/>
      <c r="P1181" s="30"/>
    </row>
    <row r="1182" spans="1:16" s="1" customFormat="1">
      <c r="A1182" s="28"/>
      <c r="B1182" s="29" t="s">
        <v>24</v>
      </c>
      <c r="C1182" s="24">
        <f t="shared" si="468"/>
        <v>0</v>
      </c>
      <c r="D1182" s="30">
        <f>70337.53+0.3</f>
        <v>70337.83</v>
      </c>
      <c r="E1182" s="30"/>
      <c r="F1182" s="30"/>
      <c r="G1182" s="30"/>
      <c r="H1182" s="31"/>
      <c r="I1182" s="31"/>
      <c r="J1182" s="31"/>
      <c r="K1182" s="31"/>
      <c r="L1182" s="24">
        <f t="shared" si="469"/>
        <v>0</v>
      </c>
      <c r="M1182" s="30">
        <f>70337.53+0.3</f>
        <v>70337.83</v>
      </c>
      <c r="N1182" s="30"/>
      <c r="O1182" s="30"/>
      <c r="P1182" s="30"/>
    </row>
    <row r="1183" spans="1:16" s="1" customFormat="1">
      <c r="A1183" s="28"/>
      <c r="B1183" s="34" t="s">
        <v>25</v>
      </c>
      <c r="C1183" s="24">
        <f t="shared" si="468"/>
        <v>0</v>
      </c>
      <c r="D1183" s="30">
        <v>7901.02</v>
      </c>
      <c r="E1183" s="30"/>
      <c r="F1183" s="30"/>
      <c r="G1183" s="30"/>
      <c r="H1183" s="31"/>
      <c r="I1183" s="31"/>
      <c r="J1183" s="31"/>
      <c r="K1183" s="31"/>
      <c r="L1183" s="24">
        <f t="shared" si="469"/>
        <v>0</v>
      </c>
      <c r="M1183" s="30">
        <v>7901.02</v>
      </c>
      <c r="N1183" s="30"/>
      <c r="O1183" s="30"/>
      <c r="P1183" s="30"/>
    </row>
    <row r="1184" spans="1:16" s="1" customFormat="1">
      <c r="A1184" s="28"/>
      <c r="B1184" s="32" t="s">
        <v>26</v>
      </c>
      <c r="C1184" s="24">
        <f t="shared" si="468"/>
        <v>0</v>
      </c>
      <c r="D1184" s="30"/>
      <c r="E1184" s="30"/>
      <c r="F1184" s="30"/>
      <c r="G1184" s="30"/>
      <c r="H1184" s="31"/>
      <c r="I1184" s="31"/>
      <c r="J1184" s="31"/>
      <c r="K1184" s="31"/>
      <c r="L1184" s="24">
        <f t="shared" si="469"/>
        <v>0</v>
      </c>
      <c r="M1184" s="30"/>
      <c r="N1184" s="30"/>
      <c r="O1184" s="30"/>
      <c r="P1184" s="30"/>
    </row>
    <row r="1185" spans="1:16" s="1" customFormat="1" ht="30">
      <c r="A1185" s="28"/>
      <c r="B1185" s="35" t="s">
        <v>27</v>
      </c>
      <c r="C1185" s="36">
        <f t="shared" ref="C1185:G1185" si="470">SUM(C1186:C1189)</f>
        <v>0</v>
      </c>
      <c r="D1185" s="36">
        <f t="shared" si="470"/>
        <v>504647.33</v>
      </c>
      <c r="E1185" s="36">
        <f t="shared" si="470"/>
        <v>0</v>
      </c>
      <c r="F1185" s="36">
        <f t="shared" si="470"/>
        <v>0</v>
      </c>
      <c r="G1185" s="36">
        <f t="shared" si="470"/>
        <v>0</v>
      </c>
      <c r="H1185" s="31"/>
      <c r="I1185" s="31"/>
      <c r="J1185" s="31"/>
      <c r="K1185" s="31"/>
      <c r="L1185" s="36">
        <f t="shared" ref="L1185:P1185" si="471">SUM(L1186:L1189)</f>
        <v>0</v>
      </c>
      <c r="M1185" s="36">
        <f t="shared" si="471"/>
        <v>504647.33</v>
      </c>
      <c r="N1185" s="36">
        <f t="shared" si="471"/>
        <v>0</v>
      </c>
      <c r="O1185" s="36">
        <f t="shared" si="471"/>
        <v>0</v>
      </c>
      <c r="P1185" s="36">
        <f t="shared" si="471"/>
        <v>0</v>
      </c>
    </row>
    <row r="1186" spans="1:16" s="1" customFormat="1">
      <c r="A1186" s="28"/>
      <c r="B1186" s="38" t="s">
        <v>28</v>
      </c>
      <c r="C1186" s="24">
        <f t="shared" ref="C1186:C1196" si="472">E1186+F1186+G1186</f>
        <v>0</v>
      </c>
      <c r="D1186" s="30">
        <v>229092.67</v>
      </c>
      <c r="E1186" s="30"/>
      <c r="F1186" s="30"/>
      <c r="G1186" s="30"/>
      <c r="H1186" s="31"/>
      <c r="I1186" s="31"/>
      <c r="J1186" s="31"/>
      <c r="K1186" s="31"/>
      <c r="L1186" s="24">
        <f t="shared" ref="L1186:L1196" si="473">N1186+O1186+P1186</f>
        <v>0</v>
      </c>
      <c r="M1186" s="30">
        <v>229092.67</v>
      </c>
      <c r="N1186" s="30"/>
      <c r="O1186" s="30"/>
      <c r="P1186" s="30"/>
    </row>
    <row r="1187" spans="1:16" s="1" customFormat="1">
      <c r="A1187" s="28"/>
      <c r="B1187" s="38" t="s">
        <v>29</v>
      </c>
      <c r="C1187" s="24">
        <f t="shared" si="472"/>
        <v>0</v>
      </c>
      <c r="D1187" s="30">
        <v>130256.41</v>
      </c>
      <c r="E1187" s="30"/>
      <c r="F1187" s="30"/>
      <c r="G1187" s="30"/>
      <c r="H1187" s="31"/>
      <c r="I1187" s="31"/>
      <c r="J1187" s="31"/>
      <c r="K1187" s="31"/>
      <c r="L1187" s="24">
        <f t="shared" si="473"/>
        <v>0</v>
      </c>
      <c r="M1187" s="30">
        <v>130256.41</v>
      </c>
      <c r="N1187" s="30"/>
      <c r="O1187" s="30"/>
      <c r="P1187" s="30"/>
    </row>
    <row r="1188" spans="1:16" s="1" customFormat="1">
      <c r="A1188" s="28"/>
      <c r="B1188" s="38" t="s">
        <v>30</v>
      </c>
      <c r="C1188" s="24">
        <f t="shared" si="472"/>
        <v>0</v>
      </c>
      <c r="D1188" s="30">
        <f>47772.47+61529.09</f>
        <v>109301.56</v>
      </c>
      <c r="E1188" s="30"/>
      <c r="F1188" s="30"/>
      <c r="G1188" s="30"/>
      <c r="H1188" s="31"/>
      <c r="I1188" s="31"/>
      <c r="J1188" s="31"/>
      <c r="K1188" s="31"/>
      <c r="L1188" s="24">
        <f t="shared" si="473"/>
        <v>0</v>
      </c>
      <c r="M1188" s="30">
        <f>47772.47+61529.09</f>
        <v>109301.56</v>
      </c>
      <c r="N1188" s="30"/>
      <c r="O1188" s="30"/>
      <c r="P1188" s="30"/>
    </row>
    <row r="1189" spans="1:16" s="1" customFormat="1">
      <c r="A1189" s="28"/>
      <c r="B1189" s="38" t="s">
        <v>31</v>
      </c>
      <c r="C1189" s="24">
        <f t="shared" si="472"/>
        <v>0</v>
      </c>
      <c r="D1189" s="30">
        <v>35996.69</v>
      </c>
      <c r="E1189" s="30"/>
      <c r="F1189" s="30"/>
      <c r="G1189" s="30"/>
      <c r="H1189" s="31"/>
      <c r="I1189" s="31"/>
      <c r="J1189" s="31"/>
      <c r="K1189" s="31"/>
      <c r="L1189" s="24">
        <f t="shared" si="473"/>
        <v>0</v>
      </c>
      <c r="M1189" s="30">
        <v>35996.69</v>
      </c>
      <c r="N1189" s="30"/>
      <c r="O1189" s="30"/>
      <c r="P1189" s="30"/>
    </row>
    <row r="1190" spans="1:16" s="1" customFormat="1" ht="30">
      <c r="A1190" s="28"/>
      <c r="B1190" s="39" t="s">
        <v>32</v>
      </c>
      <c r="C1190" s="24">
        <f t="shared" si="472"/>
        <v>0</v>
      </c>
      <c r="D1190" s="30"/>
      <c r="E1190" s="30"/>
      <c r="F1190" s="30"/>
      <c r="G1190" s="30"/>
      <c r="H1190" s="31"/>
      <c r="I1190" s="31"/>
      <c r="J1190" s="31"/>
      <c r="K1190" s="31"/>
      <c r="L1190" s="24">
        <f t="shared" si="473"/>
        <v>0</v>
      </c>
      <c r="M1190" s="30"/>
      <c r="N1190" s="30"/>
      <c r="O1190" s="30"/>
      <c r="P1190" s="30"/>
    </row>
    <row r="1191" spans="1:16" s="1" customFormat="1" ht="30">
      <c r="A1191" s="28"/>
      <c r="B1191" s="39" t="s">
        <v>33</v>
      </c>
      <c r="C1191" s="24">
        <f t="shared" si="472"/>
        <v>0</v>
      </c>
      <c r="D1191" s="30">
        <f>7847.61</f>
        <v>7847.61</v>
      </c>
      <c r="E1191" s="30"/>
      <c r="F1191" s="30"/>
      <c r="G1191" s="30"/>
      <c r="H1191" s="31"/>
      <c r="I1191" s="31"/>
      <c r="J1191" s="31"/>
      <c r="K1191" s="31"/>
      <c r="L1191" s="24">
        <f t="shared" si="473"/>
        <v>0</v>
      </c>
      <c r="M1191" s="30">
        <f>7847.61</f>
        <v>7847.61</v>
      </c>
      <c r="N1191" s="30"/>
      <c r="O1191" s="30"/>
      <c r="P1191" s="30"/>
    </row>
    <row r="1192" spans="1:16" s="1" customFormat="1" ht="30">
      <c r="A1192" s="28"/>
      <c r="B1192" s="40" t="s">
        <v>34</v>
      </c>
      <c r="C1192" s="24">
        <f t="shared" si="472"/>
        <v>0</v>
      </c>
      <c r="D1192" s="30"/>
      <c r="E1192" s="30"/>
      <c r="F1192" s="30"/>
      <c r="G1192" s="30"/>
      <c r="H1192" s="31"/>
      <c r="I1192" s="31"/>
      <c r="J1192" s="31"/>
      <c r="K1192" s="31"/>
      <c r="L1192" s="24">
        <f t="shared" si="473"/>
        <v>0</v>
      </c>
      <c r="M1192" s="30"/>
      <c r="N1192" s="30"/>
      <c r="O1192" s="30"/>
      <c r="P1192" s="30"/>
    </row>
    <row r="1193" spans="1:16" s="1" customFormat="1">
      <c r="A1193" s="28"/>
      <c r="B1193" s="40" t="s">
        <v>35</v>
      </c>
      <c r="C1193" s="24">
        <f t="shared" si="472"/>
        <v>0</v>
      </c>
      <c r="D1193" s="30"/>
      <c r="E1193" s="30"/>
      <c r="F1193" s="30"/>
      <c r="G1193" s="30"/>
      <c r="H1193" s="31"/>
      <c r="I1193" s="31"/>
      <c r="J1193" s="31"/>
      <c r="K1193" s="31"/>
      <c r="L1193" s="24">
        <f t="shared" si="473"/>
        <v>0</v>
      </c>
      <c r="M1193" s="30"/>
      <c r="N1193" s="30"/>
      <c r="O1193" s="30"/>
      <c r="P1193" s="30"/>
    </row>
    <row r="1194" spans="1:16" s="1" customFormat="1" ht="30">
      <c r="A1194" s="28"/>
      <c r="B1194" s="41" t="s">
        <v>36</v>
      </c>
      <c r="C1194" s="24">
        <f t="shared" si="472"/>
        <v>0</v>
      </c>
      <c r="D1194" s="30"/>
      <c r="E1194" s="30"/>
      <c r="F1194" s="30"/>
      <c r="G1194" s="30"/>
      <c r="H1194" s="31"/>
      <c r="I1194" s="31"/>
      <c r="J1194" s="31"/>
      <c r="K1194" s="31"/>
      <c r="L1194" s="24">
        <f t="shared" si="473"/>
        <v>0</v>
      </c>
      <c r="M1194" s="30"/>
      <c r="N1194" s="30"/>
      <c r="O1194" s="30"/>
      <c r="P1194" s="30"/>
    </row>
    <row r="1195" spans="1:16" s="1" customFormat="1">
      <c r="A1195" s="28"/>
      <c r="B1195" s="42" t="s">
        <v>37</v>
      </c>
      <c r="C1195" s="24">
        <f t="shared" si="472"/>
        <v>0</v>
      </c>
      <c r="D1195" s="30">
        <f>11366+4500+7480</f>
        <v>23346</v>
      </c>
      <c r="E1195" s="30"/>
      <c r="F1195" s="30"/>
      <c r="G1195" s="30"/>
      <c r="H1195" s="31"/>
      <c r="I1195" s="31"/>
      <c r="J1195" s="31"/>
      <c r="K1195" s="31"/>
      <c r="L1195" s="24">
        <f t="shared" si="473"/>
        <v>0</v>
      </c>
      <c r="M1195" s="30">
        <f>11366+4500+7480</f>
        <v>23346</v>
      </c>
      <c r="N1195" s="30"/>
      <c r="O1195" s="30"/>
      <c r="P1195" s="30"/>
    </row>
    <row r="1196" spans="1:16" s="1" customFormat="1" ht="30">
      <c r="A1196" s="28"/>
      <c r="B1196" s="42" t="s">
        <v>38</v>
      </c>
      <c r="C1196" s="24">
        <f t="shared" si="472"/>
        <v>0</v>
      </c>
      <c r="D1196" s="30">
        <f>46000+264893+121922</f>
        <v>432815</v>
      </c>
      <c r="E1196" s="30"/>
      <c r="F1196" s="30"/>
      <c r="G1196" s="30"/>
      <c r="H1196" s="31"/>
      <c r="I1196" s="31"/>
      <c r="J1196" s="31"/>
      <c r="K1196" s="31"/>
      <c r="L1196" s="24">
        <f t="shared" si="473"/>
        <v>0</v>
      </c>
      <c r="M1196" s="30">
        <f>46000+264893+121922</f>
        <v>432815</v>
      </c>
      <c r="N1196" s="30"/>
      <c r="O1196" s="30"/>
      <c r="P1196" s="30"/>
    </row>
    <row r="1197" spans="1:16" s="1" customFormat="1" ht="30">
      <c r="A1197" s="28"/>
      <c r="B1197" s="43" t="s">
        <v>39</v>
      </c>
      <c r="C1197" s="36">
        <f t="shared" ref="C1197:G1197" si="474">SUM(C1198:C1204)</f>
        <v>0</v>
      </c>
      <c r="D1197" s="36">
        <f t="shared" si="474"/>
        <v>51500</v>
      </c>
      <c r="E1197" s="36">
        <f t="shared" si="474"/>
        <v>0</v>
      </c>
      <c r="F1197" s="36">
        <f t="shared" si="474"/>
        <v>0</v>
      </c>
      <c r="G1197" s="36">
        <f t="shared" si="474"/>
        <v>0</v>
      </c>
      <c r="H1197" s="31"/>
      <c r="I1197" s="31"/>
      <c r="J1197" s="31"/>
      <c r="K1197" s="31"/>
      <c r="L1197" s="36">
        <f t="shared" ref="L1197:P1197" si="475">SUM(L1198:L1204)</f>
        <v>0</v>
      </c>
      <c r="M1197" s="36">
        <f t="shared" si="475"/>
        <v>51500</v>
      </c>
      <c r="N1197" s="36">
        <f t="shared" si="475"/>
        <v>0</v>
      </c>
      <c r="O1197" s="36">
        <f t="shared" si="475"/>
        <v>0</v>
      </c>
      <c r="P1197" s="36">
        <f t="shared" si="475"/>
        <v>0</v>
      </c>
    </row>
    <row r="1198" spans="1:16" s="1" customFormat="1" ht="30">
      <c r="A1198" s="28" t="s">
        <v>40</v>
      </c>
      <c r="B1198" s="39" t="s">
        <v>41</v>
      </c>
      <c r="C1198" s="24">
        <f t="shared" ref="C1198:C1204" si="476">E1198+F1198+G1198</f>
        <v>0</v>
      </c>
      <c r="D1198" s="30"/>
      <c r="E1198" s="30"/>
      <c r="F1198" s="30"/>
      <c r="G1198" s="30"/>
      <c r="H1198" s="31"/>
      <c r="I1198" s="31"/>
      <c r="J1198" s="31"/>
      <c r="K1198" s="31"/>
      <c r="L1198" s="24">
        <f t="shared" ref="L1198:L1204" si="477">N1198+O1198+P1198</f>
        <v>0</v>
      </c>
      <c r="M1198" s="30"/>
      <c r="N1198" s="30"/>
      <c r="O1198" s="30"/>
      <c r="P1198" s="30"/>
    </row>
    <row r="1199" spans="1:16" s="1" customFormat="1">
      <c r="A1199" s="28"/>
      <c r="B1199" s="39" t="s">
        <v>42</v>
      </c>
      <c r="C1199" s="24">
        <f t="shared" si="476"/>
        <v>0</v>
      </c>
      <c r="D1199" s="30"/>
      <c r="E1199" s="30"/>
      <c r="F1199" s="30"/>
      <c r="G1199" s="30"/>
      <c r="H1199" s="31"/>
      <c r="I1199" s="31"/>
      <c r="J1199" s="31"/>
      <c r="K1199" s="31"/>
      <c r="L1199" s="24">
        <f t="shared" si="477"/>
        <v>0</v>
      </c>
      <c r="M1199" s="30"/>
      <c r="N1199" s="30"/>
      <c r="O1199" s="30"/>
      <c r="P1199" s="30"/>
    </row>
    <row r="1200" spans="1:16" s="1" customFormat="1">
      <c r="A1200" s="28"/>
      <c r="B1200" s="39" t="s">
        <v>43</v>
      </c>
      <c r="C1200" s="24">
        <f t="shared" si="476"/>
        <v>0</v>
      </c>
      <c r="D1200" s="30"/>
      <c r="E1200" s="30"/>
      <c r="F1200" s="30"/>
      <c r="G1200" s="30"/>
      <c r="H1200" s="31"/>
      <c r="I1200" s="31"/>
      <c r="J1200" s="31"/>
      <c r="K1200" s="31"/>
      <c r="L1200" s="24">
        <f t="shared" si="477"/>
        <v>0</v>
      </c>
      <c r="M1200" s="30"/>
      <c r="N1200" s="30"/>
      <c r="O1200" s="30"/>
      <c r="P1200" s="30"/>
    </row>
    <row r="1201" spans="1:16" s="1" customFormat="1">
      <c r="A1201" s="28"/>
      <c r="B1201" s="39" t="s">
        <v>44</v>
      </c>
      <c r="C1201" s="24">
        <f t="shared" si="476"/>
        <v>0</v>
      </c>
      <c r="D1201" s="30"/>
      <c r="E1201" s="30"/>
      <c r="F1201" s="30"/>
      <c r="G1201" s="30"/>
      <c r="H1201" s="31"/>
      <c r="I1201" s="31"/>
      <c r="J1201" s="31"/>
      <c r="K1201" s="31"/>
      <c r="L1201" s="24">
        <f t="shared" si="477"/>
        <v>0</v>
      </c>
      <c r="M1201" s="30"/>
      <c r="N1201" s="30"/>
      <c r="O1201" s="30"/>
      <c r="P1201" s="30"/>
    </row>
    <row r="1202" spans="1:16" s="1" customFormat="1">
      <c r="A1202" s="28"/>
      <c r="B1202" s="39" t="s">
        <v>45</v>
      </c>
      <c r="C1202" s="24">
        <f t="shared" si="476"/>
        <v>0</v>
      </c>
      <c r="D1202" s="30">
        <f>51500</f>
        <v>51500</v>
      </c>
      <c r="E1202" s="30"/>
      <c r="F1202" s="30"/>
      <c r="G1202" s="30"/>
      <c r="H1202" s="31"/>
      <c r="I1202" s="31"/>
      <c r="J1202" s="31"/>
      <c r="K1202" s="31"/>
      <c r="L1202" s="24">
        <f t="shared" si="477"/>
        <v>0</v>
      </c>
      <c r="M1202" s="30">
        <f>51500</f>
        <v>51500</v>
      </c>
      <c r="N1202" s="30"/>
      <c r="O1202" s="30"/>
      <c r="P1202" s="30"/>
    </row>
    <row r="1203" spans="1:16" s="1" customFormat="1" ht="30">
      <c r="A1203" s="28"/>
      <c r="B1203" s="39" t="s">
        <v>46</v>
      </c>
      <c r="C1203" s="24">
        <f t="shared" si="476"/>
        <v>0</v>
      </c>
      <c r="D1203" s="30"/>
      <c r="E1203" s="30"/>
      <c r="F1203" s="30"/>
      <c r="G1203" s="30"/>
      <c r="H1203" s="31"/>
      <c r="I1203" s="31"/>
      <c r="J1203" s="31"/>
      <c r="K1203" s="31"/>
      <c r="L1203" s="24">
        <f t="shared" si="477"/>
        <v>0</v>
      </c>
      <c r="M1203" s="30"/>
      <c r="N1203" s="30"/>
      <c r="O1203" s="30"/>
      <c r="P1203" s="30"/>
    </row>
    <row r="1204" spans="1:16" s="1" customFormat="1">
      <c r="A1204" s="28"/>
      <c r="B1204" s="39" t="s">
        <v>47</v>
      </c>
      <c r="C1204" s="24">
        <f t="shared" si="476"/>
        <v>0</v>
      </c>
      <c r="D1204" s="30"/>
      <c r="E1204" s="30"/>
      <c r="F1204" s="30"/>
      <c r="G1204" s="30"/>
      <c r="H1204" s="31"/>
      <c r="I1204" s="31"/>
      <c r="J1204" s="31"/>
      <c r="K1204" s="31"/>
      <c r="L1204" s="24">
        <f t="shared" si="477"/>
        <v>0</v>
      </c>
      <c r="M1204" s="30"/>
      <c r="N1204" s="30"/>
      <c r="O1204" s="30"/>
      <c r="P1204" s="30"/>
    </row>
    <row r="1205" spans="1:16" s="1" customFormat="1" ht="36.75" customHeight="1">
      <c r="A1205" s="211" t="s">
        <v>3</v>
      </c>
      <c r="B1205" s="213" t="s">
        <v>4</v>
      </c>
      <c r="C1205" s="213" t="s">
        <v>5</v>
      </c>
      <c r="D1205" s="10" t="s">
        <v>6</v>
      </c>
      <c r="E1205" s="215" t="s">
        <v>7</v>
      </c>
      <c r="F1205" s="216"/>
      <c r="G1205" s="217"/>
      <c r="H1205" s="218" t="s">
        <v>8</v>
      </c>
      <c r="I1205" s="218"/>
      <c r="J1205" s="218"/>
      <c r="K1205" s="11"/>
      <c r="L1205" s="219" t="s">
        <v>9</v>
      </c>
      <c r="M1205" s="12" t="s">
        <v>6</v>
      </c>
      <c r="N1205" s="208" t="s">
        <v>10</v>
      </c>
      <c r="O1205" s="209"/>
      <c r="P1205" s="210"/>
    </row>
    <row r="1206" spans="1:16" s="1" customFormat="1" ht="47.25" customHeight="1">
      <c r="A1206" s="212"/>
      <c r="B1206" s="214"/>
      <c r="C1206" s="214"/>
      <c r="D1206" s="13" t="s">
        <v>11</v>
      </c>
      <c r="E1206" s="13" t="s">
        <v>12</v>
      </c>
      <c r="F1206" s="13" t="s">
        <v>13</v>
      </c>
      <c r="G1206" s="13" t="s">
        <v>14</v>
      </c>
      <c r="H1206" s="14" t="s">
        <v>15</v>
      </c>
      <c r="I1206" s="14" t="s">
        <v>16</v>
      </c>
      <c r="J1206" s="14" t="s">
        <v>17</v>
      </c>
      <c r="K1206" s="14" t="s">
        <v>18</v>
      </c>
      <c r="L1206" s="220"/>
      <c r="M1206" s="15" t="s">
        <v>11</v>
      </c>
      <c r="N1206" s="15" t="s">
        <v>12</v>
      </c>
      <c r="O1206" s="15" t="s">
        <v>13</v>
      </c>
      <c r="P1206" s="15" t="s">
        <v>14</v>
      </c>
    </row>
    <row r="1207" spans="1:16" s="1" customFormat="1">
      <c r="A1207" s="80">
        <v>19</v>
      </c>
      <c r="B1207" s="17" t="s">
        <v>88</v>
      </c>
      <c r="C1207" s="81">
        <f t="shared" ref="C1207:G1207" si="478">C1208+C1209+C1210+C1211+C1212+C1213+C1214+C1215+C1220+C1221+C1222+C1223+C1224+C1225+C1226+C1227</f>
        <v>94960.92</v>
      </c>
      <c r="D1207" s="81">
        <f t="shared" si="478"/>
        <v>1279282.8199999998</v>
      </c>
      <c r="E1207" s="81">
        <f t="shared" si="478"/>
        <v>0</v>
      </c>
      <c r="F1207" s="81">
        <f t="shared" si="478"/>
        <v>0</v>
      </c>
      <c r="G1207" s="81">
        <f t="shared" si="478"/>
        <v>94960.92</v>
      </c>
      <c r="H1207" s="82"/>
      <c r="I1207" s="83"/>
      <c r="J1207" s="83"/>
      <c r="K1207" s="84"/>
      <c r="L1207" s="81">
        <f t="shared" ref="L1207:P1207" si="479">L1208+L1209+L1210+L1211+L1212+L1213+L1214+L1215+L1220+L1221+L1222+L1223+L1224+L1225+L1226+L1227</f>
        <v>0</v>
      </c>
      <c r="M1207" s="81">
        <f t="shared" si="479"/>
        <v>1279282.8199999998</v>
      </c>
      <c r="N1207" s="81">
        <f t="shared" si="479"/>
        <v>0</v>
      </c>
      <c r="O1207" s="81">
        <f t="shared" si="479"/>
        <v>0</v>
      </c>
      <c r="P1207" s="81">
        <f t="shared" si="479"/>
        <v>0</v>
      </c>
    </row>
    <row r="1208" spans="1:16" s="5" customFormat="1">
      <c r="A1208" s="22"/>
      <c r="B1208" s="23" t="s">
        <v>20</v>
      </c>
      <c r="C1208" s="24">
        <f t="shared" ref="C1208:C1214" si="480">E1208+F1208+G1208</f>
        <v>94960.92</v>
      </c>
      <c r="D1208" s="25"/>
      <c r="E1208" s="25"/>
      <c r="F1208" s="25"/>
      <c r="G1208" s="24">
        <v>94960.92</v>
      </c>
      <c r="H1208" s="26"/>
      <c r="I1208" s="24"/>
      <c r="J1208" s="24"/>
      <c r="K1208" s="27"/>
      <c r="L1208" s="24">
        <f t="shared" ref="L1208:L1214" si="481">N1208+O1208+P1208</f>
        <v>0</v>
      </c>
      <c r="M1208" s="25"/>
      <c r="N1208" s="25"/>
      <c r="O1208" s="25"/>
      <c r="P1208" s="24"/>
    </row>
    <row r="1209" spans="1:16" s="1" customFormat="1">
      <c r="A1209" s="28"/>
      <c r="B1209" s="29" t="s">
        <v>21</v>
      </c>
      <c r="C1209" s="24">
        <f t="shared" si="480"/>
        <v>0</v>
      </c>
      <c r="D1209" s="30"/>
      <c r="E1209" s="30"/>
      <c r="F1209" s="30"/>
      <c r="G1209" s="30"/>
      <c r="H1209" s="31"/>
      <c r="I1209" s="31"/>
      <c r="J1209" s="31"/>
      <c r="K1209" s="31"/>
      <c r="L1209" s="24">
        <f t="shared" si="481"/>
        <v>0</v>
      </c>
      <c r="M1209" s="30"/>
      <c r="N1209" s="30"/>
      <c r="O1209" s="30"/>
      <c r="P1209" s="30"/>
    </row>
    <row r="1210" spans="1:16" s="1" customFormat="1">
      <c r="A1210" s="28"/>
      <c r="B1210" s="32" t="s">
        <v>22</v>
      </c>
      <c r="C1210" s="24">
        <f t="shared" si="480"/>
        <v>0</v>
      </c>
      <c r="D1210" s="30"/>
      <c r="E1210" s="30"/>
      <c r="F1210" s="30"/>
      <c r="G1210" s="30"/>
      <c r="H1210" s="31"/>
      <c r="I1210" s="31"/>
      <c r="J1210" s="31"/>
      <c r="K1210" s="31"/>
      <c r="L1210" s="24">
        <f t="shared" si="481"/>
        <v>0</v>
      </c>
      <c r="M1210" s="30"/>
      <c r="N1210" s="30"/>
      <c r="O1210" s="30"/>
      <c r="P1210" s="30"/>
    </row>
    <row r="1211" spans="1:16" s="1" customFormat="1">
      <c r="A1211" s="28"/>
      <c r="B1211" s="32" t="s">
        <v>23</v>
      </c>
      <c r="C1211" s="24">
        <f t="shared" si="480"/>
        <v>0</v>
      </c>
      <c r="D1211" s="30">
        <v>119147.96</v>
      </c>
      <c r="E1211" s="30"/>
      <c r="F1211" s="30"/>
      <c r="G1211" s="30"/>
      <c r="H1211" s="31"/>
      <c r="I1211" s="31"/>
      <c r="J1211" s="31"/>
      <c r="K1211" s="31"/>
      <c r="L1211" s="24">
        <f t="shared" si="481"/>
        <v>0</v>
      </c>
      <c r="M1211" s="30">
        <v>119147.96</v>
      </c>
      <c r="N1211" s="30"/>
      <c r="O1211" s="30"/>
      <c r="P1211" s="30"/>
    </row>
    <row r="1212" spans="1:16" s="1" customFormat="1">
      <c r="A1212" s="28"/>
      <c r="B1212" s="29" t="s">
        <v>24</v>
      </c>
      <c r="C1212" s="24">
        <f t="shared" si="480"/>
        <v>0</v>
      </c>
      <c r="D1212" s="30"/>
      <c r="E1212" s="30"/>
      <c r="F1212" s="30"/>
      <c r="G1212" s="30"/>
      <c r="H1212" s="31"/>
      <c r="I1212" s="31"/>
      <c r="J1212" s="31"/>
      <c r="K1212" s="31"/>
      <c r="L1212" s="24">
        <f t="shared" si="481"/>
        <v>0</v>
      </c>
      <c r="M1212" s="30"/>
      <c r="N1212" s="30"/>
      <c r="O1212" s="30"/>
      <c r="P1212" s="30"/>
    </row>
    <row r="1213" spans="1:16" s="1" customFormat="1">
      <c r="A1213" s="28"/>
      <c r="B1213" s="34" t="s">
        <v>25</v>
      </c>
      <c r="C1213" s="24">
        <f t="shared" si="480"/>
        <v>0</v>
      </c>
      <c r="D1213" s="30"/>
      <c r="E1213" s="30"/>
      <c r="F1213" s="30"/>
      <c r="G1213" s="30"/>
      <c r="H1213" s="31"/>
      <c r="I1213" s="31"/>
      <c r="J1213" s="31"/>
      <c r="K1213" s="31"/>
      <c r="L1213" s="24">
        <f t="shared" si="481"/>
        <v>0</v>
      </c>
      <c r="M1213" s="30"/>
      <c r="N1213" s="30"/>
      <c r="O1213" s="30"/>
      <c r="P1213" s="30"/>
    </row>
    <row r="1214" spans="1:16" s="1" customFormat="1">
      <c r="A1214" s="28"/>
      <c r="B1214" s="32" t="s">
        <v>26</v>
      </c>
      <c r="C1214" s="24">
        <f t="shared" si="480"/>
        <v>0</v>
      </c>
      <c r="D1214" s="30"/>
      <c r="E1214" s="30"/>
      <c r="F1214" s="30"/>
      <c r="G1214" s="30"/>
      <c r="H1214" s="31"/>
      <c r="I1214" s="31"/>
      <c r="J1214" s="31"/>
      <c r="K1214" s="31"/>
      <c r="L1214" s="24">
        <f t="shared" si="481"/>
        <v>0</v>
      </c>
      <c r="M1214" s="30"/>
      <c r="N1214" s="30"/>
      <c r="O1214" s="30"/>
      <c r="P1214" s="30"/>
    </row>
    <row r="1215" spans="1:16" s="1" customFormat="1" ht="30">
      <c r="A1215" s="28"/>
      <c r="B1215" s="35" t="s">
        <v>27</v>
      </c>
      <c r="C1215" s="36">
        <f t="shared" ref="C1215:G1215" si="482">SUM(C1216:C1219)</f>
        <v>0</v>
      </c>
      <c r="D1215" s="36">
        <f t="shared" si="482"/>
        <v>113409.16</v>
      </c>
      <c r="E1215" s="36">
        <f t="shared" si="482"/>
        <v>0</v>
      </c>
      <c r="F1215" s="36">
        <f t="shared" si="482"/>
        <v>0</v>
      </c>
      <c r="G1215" s="36">
        <f t="shared" si="482"/>
        <v>0</v>
      </c>
      <c r="H1215" s="31"/>
      <c r="I1215" s="31"/>
      <c r="J1215" s="31"/>
      <c r="K1215" s="31"/>
      <c r="L1215" s="36">
        <f t="shared" ref="L1215:P1215" si="483">SUM(L1216:L1219)</f>
        <v>0</v>
      </c>
      <c r="M1215" s="36">
        <f t="shared" si="483"/>
        <v>113409.16</v>
      </c>
      <c r="N1215" s="36">
        <f t="shared" si="483"/>
        <v>0</v>
      </c>
      <c r="O1215" s="36">
        <f t="shared" si="483"/>
        <v>0</v>
      </c>
      <c r="P1215" s="36">
        <f t="shared" si="483"/>
        <v>0</v>
      </c>
    </row>
    <row r="1216" spans="1:16" s="1" customFormat="1">
      <c r="A1216" s="28"/>
      <c r="B1216" s="38" t="s">
        <v>28</v>
      </c>
      <c r="C1216" s="24">
        <f t="shared" ref="C1216:C1226" si="484">E1216+F1216+G1216</f>
        <v>0</v>
      </c>
      <c r="D1216" s="30">
        <v>71094.740000000005</v>
      </c>
      <c r="E1216" s="30"/>
      <c r="F1216" s="30"/>
      <c r="G1216" s="30"/>
      <c r="H1216" s="31"/>
      <c r="I1216" s="31"/>
      <c r="J1216" s="31"/>
      <c r="K1216" s="31"/>
      <c r="L1216" s="24">
        <f t="shared" ref="L1216:L1226" si="485">N1216+O1216+P1216</f>
        <v>0</v>
      </c>
      <c r="M1216" s="30">
        <v>71094.740000000005</v>
      </c>
      <c r="N1216" s="30"/>
      <c r="O1216" s="30"/>
      <c r="P1216" s="30"/>
    </row>
    <row r="1217" spans="1:16" s="1" customFormat="1">
      <c r="A1217" s="28"/>
      <c r="B1217" s="38" t="s">
        <v>29</v>
      </c>
      <c r="C1217" s="24">
        <f t="shared" si="484"/>
        <v>0</v>
      </c>
      <c r="D1217" s="30">
        <v>5900.38</v>
      </c>
      <c r="E1217" s="30"/>
      <c r="F1217" s="30"/>
      <c r="G1217" s="30"/>
      <c r="H1217" s="31"/>
      <c r="I1217" s="31"/>
      <c r="J1217" s="31"/>
      <c r="K1217" s="31"/>
      <c r="L1217" s="24">
        <f t="shared" si="485"/>
        <v>0</v>
      </c>
      <c r="M1217" s="30">
        <v>5900.38</v>
      </c>
      <c r="N1217" s="30"/>
      <c r="O1217" s="30"/>
      <c r="P1217" s="30"/>
    </row>
    <row r="1218" spans="1:16" s="1" customFormat="1">
      <c r="A1218" s="28"/>
      <c r="B1218" s="38" t="s">
        <v>30</v>
      </c>
      <c r="C1218" s="24">
        <f t="shared" si="484"/>
        <v>0</v>
      </c>
      <c r="D1218" s="30">
        <v>24090.81</v>
      </c>
      <c r="E1218" s="30"/>
      <c r="F1218" s="30"/>
      <c r="G1218" s="30"/>
      <c r="H1218" s="31"/>
      <c r="I1218" s="31"/>
      <c r="J1218" s="31"/>
      <c r="K1218" s="31"/>
      <c r="L1218" s="24">
        <f t="shared" si="485"/>
        <v>0</v>
      </c>
      <c r="M1218" s="30">
        <v>24090.81</v>
      </c>
      <c r="N1218" s="30"/>
      <c r="O1218" s="30"/>
      <c r="P1218" s="30"/>
    </row>
    <row r="1219" spans="1:16" s="1" customFormat="1">
      <c r="A1219" s="28"/>
      <c r="B1219" s="38" t="s">
        <v>31</v>
      </c>
      <c r="C1219" s="24">
        <f t="shared" si="484"/>
        <v>0</v>
      </c>
      <c r="D1219" s="30">
        <v>12323.23</v>
      </c>
      <c r="E1219" s="30"/>
      <c r="F1219" s="30"/>
      <c r="G1219" s="30"/>
      <c r="H1219" s="31"/>
      <c r="I1219" s="31"/>
      <c r="J1219" s="31"/>
      <c r="K1219" s="31"/>
      <c r="L1219" s="24">
        <f t="shared" si="485"/>
        <v>0</v>
      </c>
      <c r="M1219" s="30">
        <v>12323.23</v>
      </c>
      <c r="N1219" s="30"/>
      <c r="O1219" s="30"/>
      <c r="P1219" s="30"/>
    </row>
    <row r="1220" spans="1:16" s="1" customFormat="1" ht="30">
      <c r="A1220" s="28"/>
      <c r="B1220" s="39" t="s">
        <v>32</v>
      </c>
      <c r="C1220" s="24">
        <f t="shared" si="484"/>
        <v>0</v>
      </c>
      <c r="D1220" s="30"/>
      <c r="E1220" s="30"/>
      <c r="F1220" s="30"/>
      <c r="G1220" s="30"/>
      <c r="H1220" s="31"/>
      <c r="I1220" s="31"/>
      <c r="J1220" s="31"/>
      <c r="K1220" s="31"/>
      <c r="L1220" s="24">
        <f t="shared" si="485"/>
        <v>0</v>
      </c>
      <c r="M1220" s="30"/>
      <c r="N1220" s="30"/>
      <c r="O1220" s="30"/>
      <c r="P1220" s="30"/>
    </row>
    <row r="1221" spans="1:16" s="1" customFormat="1" ht="30">
      <c r="A1221" s="28"/>
      <c r="B1221" s="39" t="s">
        <v>33</v>
      </c>
      <c r="C1221" s="24">
        <f t="shared" si="484"/>
        <v>0</v>
      </c>
      <c r="D1221" s="30"/>
      <c r="E1221" s="30"/>
      <c r="F1221" s="30"/>
      <c r="G1221" s="30"/>
      <c r="H1221" s="31"/>
      <c r="I1221" s="31"/>
      <c r="J1221" s="31"/>
      <c r="K1221" s="31"/>
      <c r="L1221" s="24">
        <f t="shared" si="485"/>
        <v>0</v>
      </c>
      <c r="M1221" s="30"/>
      <c r="N1221" s="30"/>
      <c r="O1221" s="30"/>
      <c r="P1221" s="30"/>
    </row>
    <row r="1222" spans="1:16" s="1" customFormat="1" ht="30">
      <c r="A1222" s="28"/>
      <c r="B1222" s="40" t="s">
        <v>34</v>
      </c>
      <c r="C1222" s="24">
        <f t="shared" si="484"/>
        <v>0</v>
      </c>
      <c r="D1222" s="30"/>
      <c r="E1222" s="30"/>
      <c r="F1222" s="30"/>
      <c r="G1222" s="30"/>
      <c r="H1222" s="31"/>
      <c r="I1222" s="31"/>
      <c r="J1222" s="31"/>
      <c r="K1222" s="31"/>
      <c r="L1222" s="24">
        <f t="shared" si="485"/>
        <v>0</v>
      </c>
      <c r="M1222" s="30"/>
      <c r="N1222" s="30"/>
      <c r="O1222" s="30"/>
      <c r="P1222" s="30"/>
    </row>
    <row r="1223" spans="1:16" s="1" customFormat="1">
      <c r="A1223" s="28"/>
      <c r="B1223" s="40" t="s">
        <v>35</v>
      </c>
      <c r="C1223" s="24">
        <f t="shared" si="484"/>
        <v>0</v>
      </c>
      <c r="D1223" s="30"/>
      <c r="E1223" s="30"/>
      <c r="F1223" s="30"/>
      <c r="G1223" s="30"/>
      <c r="H1223" s="31"/>
      <c r="I1223" s="31"/>
      <c r="J1223" s="31"/>
      <c r="K1223" s="31"/>
      <c r="L1223" s="24">
        <f t="shared" si="485"/>
        <v>0</v>
      </c>
      <c r="M1223" s="30"/>
      <c r="N1223" s="30"/>
      <c r="O1223" s="30"/>
      <c r="P1223" s="30"/>
    </row>
    <row r="1224" spans="1:16" s="1" customFormat="1" ht="30">
      <c r="A1224" s="28"/>
      <c r="B1224" s="41" t="s">
        <v>36</v>
      </c>
      <c r="C1224" s="24">
        <f t="shared" si="484"/>
        <v>0</v>
      </c>
      <c r="D1224" s="30"/>
      <c r="E1224" s="30"/>
      <c r="F1224" s="30"/>
      <c r="G1224" s="30"/>
      <c r="H1224" s="31"/>
      <c r="I1224" s="31"/>
      <c r="J1224" s="31"/>
      <c r="K1224" s="31"/>
      <c r="L1224" s="24">
        <f t="shared" si="485"/>
        <v>0</v>
      </c>
      <c r="M1224" s="30"/>
      <c r="N1224" s="30"/>
      <c r="O1224" s="30"/>
      <c r="P1224" s="30"/>
    </row>
    <row r="1225" spans="1:16" s="1" customFormat="1">
      <c r="A1225" s="28"/>
      <c r="B1225" s="42" t="s">
        <v>37</v>
      </c>
      <c r="C1225" s="24">
        <f t="shared" si="484"/>
        <v>0</v>
      </c>
      <c r="D1225" s="30"/>
      <c r="E1225" s="30"/>
      <c r="F1225" s="30"/>
      <c r="G1225" s="30"/>
      <c r="H1225" s="31"/>
      <c r="I1225" s="31"/>
      <c r="J1225" s="31"/>
      <c r="K1225" s="31"/>
      <c r="L1225" s="24">
        <f t="shared" si="485"/>
        <v>0</v>
      </c>
      <c r="M1225" s="30"/>
      <c r="N1225" s="30"/>
      <c r="O1225" s="30"/>
      <c r="P1225" s="30"/>
    </row>
    <row r="1226" spans="1:16" s="1" customFormat="1" ht="30">
      <c r="A1226" s="28"/>
      <c r="B1226" s="42" t="s">
        <v>38</v>
      </c>
      <c r="C1226" s="24">
        <f t="shared" si="484"/>
        <v>0</v>
      </c>
      <c r="D1226" s="30">
        <v>1046725.7</v>
      </c>
      <c r="E1226" s="30"/>
      <c r="F1226" s="30"/>
      <c r="G1226" s="30"/>
      <c r="H1226" s="31"/>
      <c r="I1226" s="31"/>
      <c r="J1226" s="31"/>
      <c r="K1226" s="31"/>
      <c r="L1226" s="24">
        <f t="shared" si="485"/>
        <v>0</v>
      </c>
      <c r="M1226" s="30">
        <v>1046725.7</v>
      </c>
      <c r="N1226" s="30"/>
      <c r="O1226" s="30"/>
      <c r="P1226" s="30"/>
    </row>
    <row r="1227" spans="1:16" s="1" customFormat="1" ht="30">
      <c r="A1227" s="28"/>
      <c r="B1227" s="43" t="s">
        <v>39</v>
      </c>
      <c r="C1227" s="36">
        <f t="shared" ref="C1227:G1227" si="486">SUM(C1228:C1234)</f>
        <v>0</v>
      </c>
      <c r="D1227" s="36">
        <f t="shared" si="486"/>
        <v>0</v>
      </c>
      <c r="E1227" s="36">
        <f t="shared" si="486"/>
        <v>0</v>
      </c>
      <c r="F1227" s="36">
        <f t="shared" si="486"/>
        <v>0</v>
      </c>
      <c r="G1227" s="36">
        <f t="shared" si="486"/>
        <v>0</v>
      </c>
      <c r="H1227" s="31"/>
      <c r="I1227" s="31"/>
      <c r="J1227" s="31"/>
      <c r="K1227" s="31"/>
      <c r="L1227" s="36">
        <f t="shared" ref="L1227:P1227" si="487">SUM(L1228:L1234)</f>
        <v>0</v>
      </c>
      <c r="M1227" s="36">
        <f t="shared" si="487"/>
        <v>0</v>
      </c>
      <c r="N1227" s="36">
        <f t="shared" si="487"/>
        <v>0</v>
      </c>
      <c r="O1227" s="36">
        <f t="shared" si="487"/>
        <v>0</v>
      </c>
      <c r="P1227" s="36">
        <f t="shared" si="487"/>
        <v>0</v>
      </c>
    </row>
    <row r="1228" spans="1:16" s="1" customFormat="1" ht="30">
      <c r="A1228" s="28" t="s">
        <v>40</v>
      </c>
      <c r="B1228" s="39" t="s">
        <v>41</v>
      </c>
      <c r="C1228" s="24">
        <f t="shared" ref="C1228:C1234" si="488">E1228+F1228+G1228</f>
        <v>0</v>
      </c>
      <c r="D1228" s="30"/>
      <c r="E1228" s="30"/>
      <c r="F1228" s="30"/>
      <c r="G1228" s="30"/>
      <c r="H1228" s="31"/>
      <c r="I1228" s="31"/>
      <c r="J1228" s="31"/>
      <c r="K1228" s="31"/>
      <c r="L1228" s="24">
        <f t="shared" ref="L1228:L1234" si="489">N1228+O1228+P1228</f>
        <v>0</v>
      </c>
      <c r="M1228" s="30"/>
      <c r="N1228" s="30"/>
      <c r="O1228" s="30"/>
      <c r="P1228" s="30"/>
    </row>
    <row r="1229" spans="1:16" s="1" customFormat="1">
      <c r="A1229" s="28"/>
      <c r="B1229" s="39" t="s">
        <v>42</v>
      </c>
      <c r="C1229" s="24">
        <f t="shared" si="488"/>
        <v>0</v>
      </c>
      <c r="D1229" s="30"/>
      <c r="E1229" s="30"/>
      <c r="F1229" s="30"/>
      <c r="G1229" s="30"/>
      <c r="H1229" s="31"/>
      <c r="I1229" s="31"/>
      <c r="J1229" s="31"/>
      <c r="K1229" s="31"/>
      <c r="L1229" s="24">
        <f t="shared" si="489"/>
        <v>0</v>
      </c>
      <c r="M1229" s="30"/>
      <c r="N1229" s="30"/>
      <c r="O1229" s="30"/>
      <c r="P1229" s="30"/>
    </row>
    <row r="1230" spans="1:16" s="1" customFormat="1">
      <c r="A1230" s="28"/>
      <c r="B1230" s="39" t="s">
        <v>43</v>
      </c>
      <c r="C1230" s="24">
        <f t="shared" si="488"/>
        <v>0</v>
      </c>
      <c r="D1230" s="30"/>
      <c r="E1230" s="30"/>
      <c r="F1230" s="30"/>
      <c r="G1230" s="30"/>
      <c r="H1230" s="31"/>
      <c r="I1230" s="31"/>
      <c r="J1230" s="31"/>
      <c r="K1230" s="31"/>
      <c r="L1230" s="24">
        <f t="shared" si="489"/>
        <v>0</v>
      </c>
      <c r="M1230" s="30"/>
      <c r="N1230" s="30"/>
      <c r="O1230" s="30"/>
      <c r="P1230" s="30"/>
    </row>
    <row r="1231" spans="1:16" s="1" customFormat="1">
      <c r="A1231" s="28"/>
      <c r="B1231" s="39" t="s">
        <v>44</v>
      </c>
      <c r="C1231" s="24">
        <f t="shared" si="488"/>
        <v>0</v>
      </c>
      <c r="D1231" s="30"/>
      <c r="E1231" s="30"/>
      <c r="F1231" s="30"/>
      <c r="G1231" s="30"/>
      <c r="H1231" s="31"/>
      <c r="I1231" s="31"/>
      <c r="J1231" s="31"/>
      <c r="K1231" s="31"/>
      <c r="L1231" s="24">
        <f t="shared" si="489"/>
        <v>0</v>
      </c>
      <c r="M1231" s="30"/>
      <c r="N1231" s="30"/>
      <c r="O1231" s="30"/>
      <c r="P1231" s="30"/>
    </row>
    <row r="1232" spans="1:16" s="1" customFormat="1">
      <c r="A1232" s="28"/>
      <c r="B1232" s="39" t="s">
        <v>45</v>
      </c>
      <c r="C1232" s="24">
        <f t="shared" si="488"/>
        <v>0</v>
      </c>
      <c r="D1232" s="30"/>
      <c r="E1232" s="30"/>
      <c r="F1232" s="30"/>
      <c r="G1232" s="30"/>
      <c r="H1232" s="31"/>
      <c r="I1232" s="31"/>
      <c r="J1232" s="31"/>
      <c r="K1232" s="31"/>
      <c r="L1232" s="24">
        <f t="shared" si="489"/>
        <v>0</v>
      </c>
      <c r="M1232" s="30"/>
      <c r="N1232" s="30"/>
      <c r="O1232" s="30"/>
      <c r="P1232" s="30"/>
    </row>
    <row r="1233" spans="1:16" s="1" customFormat="1" ht="30">
      <c r="A1233" s="28"/>
      <c r="B1233" s="39" t="s">
        <v>46</v>
      </c>
      <c r="C1233" s="24">
        <f t="shared" si="488"/>
        <v>0</v>
      </c>
      <c r="D1233" s="30"/>
      <c r="E1233" s="30"/>
      <c r="F1233" s="30"/>
      <c r="G1233" s="30"/>
      <c r="H1233" s="31"/>
      <c r="I1233" s="31"/>
      <c r="J1233" s="31"/>
      <c r="K1233" s="31"/>
      <c r="L1233" s="24">
        <f t="shared" si="489"/>
        <v>0</v>
      </c>
      <c r="M1233" s="30"/>
      <c r="N1233" s="30"/>
      <c r="O1233" s="30"/>
      <c r="P1233" s="30"/>
    </row>
    <row r="1234" spans="1:16" s="1" customFormat="1">
      <c r="A1234" s="28"/>
      <c r="B1234" s="39" t="s">
        <v>47</v>
      </c>
      <c r="C1234" s="24">
        <f t="shared" si="488"/>
        <v>0</v>
      </c>
      <c r="D1234" s="30"/>
      <c r="E1234" s="30"/>
      <c r="F1234" s="30"/>
      <c r="G1234" s="30"/>
      <c r="H1234" s="31"/>
      <c r="I1234" s="31"/>
      <c r="J1234" s="31"/>
      <c r="K1234" s="31"/>
      <c r="L1234" s="24">
        <f t="shared" si="489"/>
        <v>0</v>
      </c>
      <c r="M1234" s="30"/>
      <c r="N1234" s="30"/>
      <c r="O1234" s="30"/>
      <c r="P1234" s="30"/>
    </row>
    <row r="1235" spans="1:16" s="1" customFormat="1" ht="36.75" customHeight="1">
      <c r="A1235" s="211" t="s">
        <v>3</v>
      </c>
      <c r="B1235" s="213" t="s">
        <v>4</v>
      </c>
      <c r="C1235" s="213" t="s">
        <v>5</v>
      </c>
      <c r="D1235" s="10" t="s">
        <v>6</v>
      </c>
      <c r="E1235" s="215" t="s">
        <v>7</v>
      </c>
      <c r="F1235" s="216"/>
      <c r="G1235" s="217"/>
      <c r="H1235" s="218" t="s">
        <v>8</v>
      </c>
      <c r="I1235" s="218"/>
      <c r="J1235" s="218"/>
      <c r="K1235" s="11"/>
      <c r="L1235" s="219" t="s">
        <v>9</v>
      </c>
      <c r="M1235" s="12" t="s">
        <v>6</v>
      </c>
      <c r="N1235" s="208" t="s">
        <v>10</v>
      </c>
      <c r="O1235" s="209"/>
      <c r="P1235" s="210"/>
    </row>
    <row r="1236" spans="1:16" s="1" customFormat="1" ht="47.25" customHeight="1">
      <c r="A1236" s="212"/>
      <c r="B1236" s="214"/>
      <c r="C1236" s="214"/>
      <c r="D1236" s="13" t="s">
        <v>11</v>
      </c>
      <c r="E1236" s="13" t="s">
        <v>12</v>
      </c>
      <c r="F1236" s="13" t="s">
        <v>13</v>
      </c>
      <c r="G1236" s="13" t="s">
        <v>14</v>
      </c>
      <c r="H1236" s="14" t="s">
        <v>15</v>
      </c>
      <c r="I1236" s="14" t="s">
        <v>16</v>
      </c>
      <c r="J1236" s="14" t="s">
        <v>17</v>
      </c>
      <c r="K1236" s="14" t="s">
        <v>18</v>
      </c>
      <c r="L1236" s="220"/>
      <c r="M1236" s="15" t="s">
        <v>11</v>
      </c>
      <c r="N1236" s="15" t="s">
        <v>12</v>
      </c>
      <c r="O1236" s="15" t="s">
        <v>13</v>
      </c>
      <c r="P1236" s="15" t="s">
        <v>14</v>
      </c>
    </row>
    <row r="1237" spans="1:16" s="1" customFormat="1">
      <c r="A1237" s="80">
        <v>20</v>
      </c>
      <c r="B1237" s="50" t="s">
        <v>89</v>
      </c>
      <c r="C1237" s="81">
        <f t="shared" ref="C1237:G1237" si="490">C1238+C1239+C1240+C1241+C1242+C1243+C1244+C1245+C1250+C1251+C1252+C1253+C1254+C1255+C1256+C1257</f>
        <v>179866.91999999998</v>
      </c>
      <c r="D1237" s="81">
        <f t="shared" si="490"/>
        <v>637076.77</v>
      </c>
      <c r="E1237" s="81">
        <f t="shared" si="490"/>
        <v>179866.91999999998</v>
      </c>
      <c r="F1237" s="81">
        <f t="shared" si="490"/>
        <v>0</v>
      </c>
      <c r="G1237" s="81">
        <f t="shared" si="490"/>
        <v>0</v>
      </c>
      <c r="H1237" s="93"/>
      <c r="I1237" s="94"/>
      <c r="J1237" s="94"/>
      <c r="K1237" s="84"/>
      <c r="L1237" s="81">
        <f t="shared" ref="L1237:P1237" si="491">L1238+L1239+L1240+L1241+L1242+L1243+L1244+L1245+L1250+L1251+L1252+L1253+L1254+L1255+L1256+L1257</f>
        <v>0</v>
      </c>
      <c r="M1237" s="81">
        <f t="shared" si="491"/>
        <v>637076.77</v>
      </c>
      <c r="N1237" s="81">
        <f t="shared" si="491"/>
        <v>0</v>
      </c>
      <c r="O1237" s="81">
        <f t="shared" si="491"/>
        <v>0</v>
      </c>
      <c r="P1237" s="81">
        <f t="shared" si="491"/>
        <v>0</v>
      </c>
    </row>
    <row r="1238" spans="1:16" s="5" customFormat="1">
      <c r="A1238" s="22"/>
      <c r="B1238" s="23" t="s">
        <v>20</v>
      </c>
      <c r="C1238" s="24">
        <f t="shared" ref="C1238:C1244" si="492">E1238+F1238+G1238</f>
        <v>0</v>
      </c>
      <c r="D1238" s="25"/>
      <c r="E1238" s="25"/>
      <c r="F1238" s="25"/>
      <c r="G1238" s="25"/>
      <c r="H1238" s="60"/>
      <c r="I1238" s="61"/>
      <c r="J1238" s="61"/>
      <c r="K1238" s="27"/>
      <c r="L1238" s="24">
        <f t="shared" ref="L1238:L1244" si="493">N1238+O1238+P1238</f>
        <v>0</v>
      </c>
      <c r="M1238" s="25"/>
      <c r="N1238" s="25"/>
      <c r="O1238" s="25"/>
      <c r="P1238" s="25"/>
    </row>
    <row r="1239" spans="1:16" s="1" customFormat="1">
      <c r="A1239" s="28"/>
      <c r="B1239" s="29" t="s">
        <v>21</v>
      </c>
      <c r="C1239" s="24">
        <f t="shared" si="492"/>
        <v>8147.37</v>
      </c>
      <c r="D1239" s="30">
        <v>14127</v>
      </c>
      <c r="E1239" s="30">
        <v>8147.37</v>
      </c>
      <c r="F1239" s="30"/>
      <c r="G1239" s="30"/>
      <c r="H1239" s="31"/>
      <c r="I1239" s="31"/>
      <c r="J1239" s="31"/>
      <c r="K1239" s="31"/>
      <c r="L1239" s="24">
        <f t="shared" si="493"/>
        <v>0</v>
      </c>
      <c r="M1239" s="30">
        <v>14127</v>
      </c>
      <c r="N1239" s="30"/>
      <c r="O1239" s="30"/>
      <c r="P1239" s="30"/>
    </row>
    <row r="1240" spans="1:16" s="1" customFormat="1">
      <c r="A1240" s="28"/>
      <c r="B1240" s="32" t="s">
        <v>22</v>
      </c>
      <c r="C1240" s="24">
        <f t="shared" si="492"/>
        <v>0</v>
      </c>
      <c r="D1240" s="30">
        <v>106078.35</v>
      </c>
      <c r="E1240" s="30"/>
      <c r="F1240" s="30"/>
      <c r="G1240" s="30"/>
      <c r="H1240" s="31"/>
      <c r="I1240" s="31"/>
      <c r="J1240" s="31"/>
      <c r="K1240" s="31"/>
      <c r="L1240" s="24">
        <f t="shared" si="493"/>
        <v>0</v>
      </c>
      <c r="M1240" s="30">
        <v>106078.35</v>
      </c>
      <c r="N1240" s="30"/>
      <c r="O1240" s="30"/>
      <c r="P1240" s="30"/>
    </row>
    <row r="1241" spans="1:16" s="1" customFormat="1">
      <c r="A1241" s="28"/>
      <c r="B1241" s="32" t="s">
        <v>23</v>
      </c>
      <c r="C1241" s="24">
        <f t="shared" si="492"/>
        <v>0</v>
      </c>
      <c r="D1241" s="30"/>
      <c r="E1241" s="30"/>
      <c r="F1241" s="30"/>
      <c r="G1241" s="30"/>
      <c r="H1241" s="31"/>
      <c r="I1241" s="31"/>
      <c r="J1241" s="31"/>
      <c r="K1241" s="31"/>
      <c r="L1241" s="24">
        <f t="shared" si="493"/>
        <v>0</v>
      </c>
      <c r="M1241" s="30"/>
      <c r="N1241" s="30"/>
      <c r="O1241" s="30"/>
      <c r="P1241" s="30"/>
    </row>
    <row r="1242" spans="1:16" s="1" customFormat="1">
      <c r="A1242" s="28"/>
      <c r="B1242" s="29" t="s">
        <v>24</v>
      </c>
      <c r="C1242" s="24">
        <f t="shared" si="492"/>
        <v>0</v>
      </c>
      <c r="D1242" s="30">
        <f>421360.09+3521.22</f>
        <v>424881.31</v>
      </c>
      <c r="E1242" s="30"/>
      <c r="F1242" s="30"/>
      <c r="G1242" s="30"/>
      <c r="H1242" s="31"/>
      <c r="I1242" s="31"/>
      <c r="J1242" s="31"/>
      <c r="K1242" s="31"/>
      <c r="L1242" s="24">
        <f t="shared" si="493"/>
        <v>0</v>
      </c>
      <c r="M1242" s="30">
        <f>421360.09+3521.22</f>
        <v>424881.31</v>
      </c>
      <c r="N1242" s="30"/>
      <c r="O1242" s="30"/>
      <c r="P1242" s="30"/>
    </row>
    <row r="1243" spans="1:16" s="1" customFormat="1">
      <c r="A1243" s="28"/>
      <c r="B1243" s="34" t="s">
        <v>25</v>
      </c>
      <c r="C1243" s="24">
        <f t="shared" si="492"/>
        <v>0</v>
      </c>
      <c r="D1243" s="30">
        <v>5203.21</v>
      </c>
      <c r="E1243" s="30"/>
      <c r="F1243" s="30"/>
      <c r="G1243" s="30"/>
      <c r="H1243" s="31"/>
      <c r="I1243" s="31"/>
      <c r="J1243" s="31"/>
      <c r="K1243" s="31"/>
      <c r="L1243" s="24">
        <f t="shared" si="493"/>
        <v>0</v>
      </c>
      <c r="M1243" s="30">
        <v>5203.21</v>
      </c>
      <c r="N1243" s="30"/>
      <c r="O1243" s="30"/>
      <c r="P1243" s="30"/>
    </row>
    <row r="1244" spans="1:16" s="1" customFormat="1">
      <c r="A1244" s="28"/>
      <c r="B1244" s="32" t="s">
        <v>26</v>
      </c>
      <c r="C1244" s="24">
        <f t="shared" si="492"/>
        <v>0</v>
      </c>
      <c r="D1244" s="30"/>
      <c r="E1244" s="30"/>
      <c r="F1244" s="30"/>
      <c r="G1244" s="30"/>
      <c r="H1244" s="31"/>
      <c r="I1244" s="31"/>
      <c r="J1244" s="31"/>
      <c r="K1244" s="31"/>
      <c r="L1244" s="24">
        <f t="shared" si="493"/>
        <v>0</v>
      </c>
      <c r="M1244" s="30"/>
      <c r="N1244" s="30"/>
      <c r="O1244" s="30"/>
      <c r="P1244" s="30"/>
    </row>
    <row r="1245" spans="1:16" s="1" customFormat="1" ht="30">
      <c r="A1245" s="28"/>
      <c r="B1245" s="35" t="s">
        <v>27</v>
      </c>
      <c r="C1245" s="36">
        <f t="shared" ref="C1245:G1245" si="494">SUM(C1246:C1249)</f>
        <v>98633.44</v>
      </c>
      <c r="D1245" s="36">
        <f t="shared" si="494"/>
        <v>82728.259999999995</v>
      </c>
      <c r="E1245" s="36">
        <f t="shared" si="494"/>
        <v>98633.44</v>
      </c>
      <c r="F1245" s="36">
        <f t="shared" si="494"/>
        <v>0</v>
      </c>
      <c r="G1245" s="36">
        <f t="shared" si="494"/>
        <v>0</v>
      </c>
      <c r="H1245" s="31"/>
      <c r="I1245" s="31"/>
      <c r="J1245" s="31"/>
      <c r="K1245" s="31"/>
      <c r="L1245" s="36">
        <f t="shared" ref="L1245:P1245" si="495">SUM(L1246:L1249)</f>
        <v>0</v>
      </c>
      <c r="M1245" s="36">
        <f t="shared" si="495"/>
        <v>82728.259999999995</v>
      </c>
      <c r="N1245" s="36">
        <f t="shared" si="495"/>
        <v>0</v>
      </c>
      <c r="O1245" s="36">
        <f t="shared" si="495"/>
        <v>0</v>
      </c>
      <c r="P1245" s="36">
        <f t="shared" si="495"/>
        <v>0</v>
      </c>
    </row>
    <row r="1246" spans="1:16" s="1" customFormat="1">
      <c r="A1246" s="28"/>
      <c r="B1246" s="38" t="s">
        <v>28</v>
      </c>
      <c r="C1246" s="24">
        <f t="shared" ref="C1246:C1256" si="496">E1246+F1246+G1246</f>
        <v>70746.5</v>
      </c>
      <c r="D1246" s="30"/>
      <c r="E1246" s="30">
        <v>70746.5</v>
      </c>
      <c r="F1246" s="30"/>
      <c r="G1246" s="30"/>
      <c r="H1246" s="31"/>
      <c r="I1246" s="31"/>
      <c r="J1246" s="31"/>
      <c r="K1246" s="31"/>
      <c r="L1246" s="24">
        <f t="shared" ref="L1246:L1256" si="497">N1246+O1246+P1246</f>
        <v>0</v>
      </c>
      <c r="M1246" s="30"/>
      <c r="N1246" s="30"/>
      <c r="O1246" s="30"/>
      <c r="P1246" s="30"/>
    </row>
    <row r="1247" spans="1:16" s="1" customFormat="1">
      <c r="A1247" s="28"/>
      <c r="B1247" s="38" t="s">
        <v>29</v>
      </c>
      <c r="C1247" s="24">
        <f t="shared" si="496"/>
        <v>0</v>
      </c>
      <c r="D1247" s="30">
        <v>14255.61</v>
      </c>
      <c r="E1247" s="30"/>
      <c r="F1247" s="30"/>
      <c r="G1247" s="30"/>
      <c r="H1247" s="31"/>
      <c r="I1247" s="31"/>
      <c r="J1247" s="31"/>
      <c r="K1247" s="31"/>
      <c r="L1247" s="24">
        <f t="shared" si="497"/>
        <v>0</v>
      </c>
      <c r="M1247" s="30">
        <v>14255.61</v>
      </c>
      <c r="N1247" s="30"/>
      <c r="O1247" s="30"/>
      <c r="P1247" s="30"/>
    </row>
    <row r="1248" spans="1:16" s="1" customFormat="1">
      <c r="A1248" s="28"/>
      <c r="B1248" s="38" t="s">
        <v>30</v>
      </c>
      <c r="C1248" s="24">
        <f t="shared" si="496"/>
        <v>0</v>
      </c>
      <c r="D1248" s="30">
        <f>50787.12+17685.53</f>
        <v>68472.649999999994</v>
      </c>
      <c r="E1248" s="30"/>
      <c r="F1248" s="30"/>
      <c r="G1248" s="30"/>
      <c r="H1248" s="31"/>
      <c r="I1248" s="31"/>
      <c r="J1248" s="31"/>
      <c r="K1248" s="31"/>
      <c r="L1248" s="24">
        <f t="shared" si="497"/>
        <v>0</v>
      </c>
      <c r="M1248" s="30">
        <f>50787.12+17685.53</f>
        <v>68472.649999999994</v>
      </c>
      <c r="N1248" s="30"/>
      <c r="O1248" s="30"/>
      <c r="P1248" s="30"/>
    </row>
    <row r="1249" spans="1:16" s="1" customFormat="1">
      <c r="A1249" s="28"/>
      <c r="B1249" s="38" t="s">
        <v>31</v>
      </c>
      <c r="C1249" s="24">
        <f t="shared" si="496"/>
        <v>27886.94</v>
      </c>
      <c r="D1249" s="30"/>
      <c r="E1249" s="30">
        <v>27886.94</v>
      </c>
      <c r="F1249" s="30"/>
      <c r="G1249" s="30"/>
      <c r="H1249" s="31"/>
      <c r="I1249" s="31"/>
      <c r="J1249" s="31"/>
      <c r="K1249" s="31"/>
      <c r="L1249" s="24">
        <f t="shared" si="497"/>
        <v>0</v>
      </c>
      <c r="M1249" s="30"/>
      <c r="N1249" s="30"/>
      <c r="O1249" s="30"/>
      <c r="P1249" s="30"/>
    </row>
    <row r="1250" spans="1:16" s="1" customFormat="1" ht="30">
      <c r="A1250" s="28"/>
      <c r="B1250" s="39" t="s">
        <v>32</v>
      </c>
      <c r="C1250" s="24">
        <f t="shared" si="496"/>
        <v>0</v>
      </c>
      <c r="D1250" s="30"/>
      <c r="E1250" s="30"/>
      <c r="F1250" s="30"/>
      <c r="G1250" s="30"/>
      <c r="H1250" s="31"/>
      <c r="I1250" s="31"/>
      <c r="J1250" s="31"/>
      <c r="K1250" s="31"/>
      <c r="L1250" s="24">
        <f t="shared" si="497"/>
        <v>0</v>
      </c>
      <c r="M1250" s="30"/>
      <c r="N1250" s="30"/>
      <c r="O1250" s="30"/>
      <c r="P1250" s="30"/>
    </row>
    <row r="1251" spans="1:16" s="1" customFormat="1" ht="30">
      <c r="A1251" s="28"/>
      <c r="B1251" s="39" t="s">
        <v>33</v>
      </c>
      <c r="C1251" s="24">
        <f t="shared" si="496"/>
        <v>58099.55</v>
      </c>
      <c r="D1251" s="30">
        <f>549.09</f>
        <v>549.09</v>
      </c>
      <c r="E1251" s="30">
        <f>49300+4200+4090.69+508.86</f>
        <v>58099.55</v>
      </c>
      <c r="F1251" s="30"/>
      <c r="G1251" s="30"/>
      <c r="H1251" s="31"/>
      <c r="I1251" s="31"/>
      <c r="J1251" s="31"/>
      <c r="K1251" s="31"/>
      <c r="L1251" s="24">
        <f t="shared" si="497"/>
        <v>0</v>
      </c>
      <c r="M1251" s="30">
        <f>549.09</f>
        <v>549.09</v>
      </c>
      <c r="N1251" s="30"/>
      <c r="O1251" s="30"/>
      <c r="P1251" s="30"/>
    </row>
    <row r="1252" spans="1:16" s="1" customFormat="1" ht="30">
      <c r="A1252" s="28"/>
      <c r="B1252" s="40" t="s">
        <v>34</v>
      </c>
      <c r="C1252" s="24">
        <f t="shared" si="496"/>
        <v>0</v>
      </c>
      <c r="D1252" s="30"/>
      <c r="E1252" s="30"/>
      <c r="F1252" s="30"/>
      <c r="G1252" s="30"/>
      <c r="H1252" s="31"/>
      <c r="I1252" s="31"/>
      <c r="J1252" s="31"/>
      <c r="K1252" s="31"/>
      <c r="L1252" s="24">
        <f t="shared" si="497"/>
        <v>0</v>
      </c>
      <c r="M1252" s="30"/>
      <c r="N1252" s="30"/>
      <c r="O1252" s="30"/>
      <c r="P1252" s="30"/>
    </row>
    <row r="1253" spans="1:16" s="1" customFormat="1">
      <c r="A1253" s="28"/>
      <c r="B1253" s="40" t="s">
        <v>35</v>
      </c>
      <c r="C1253" s="24">
        <f t="shared" si="496"/>
        <v>11486.56</v>
      </c>
      <c r="D1253" s="30">
        <v>3509.55</v>
      </c>
      <c r="E1253" s="30">
        <f>7534.34+3952.22</f>
        <v>11486.56</v>
      </c>
      <c r="F1253" s="30"/>
      <c r="G1253" s="30"/>
      <c r="H1253" s="31"/>
      <c r="I1253" s="31"/>
      <c r="J1253" s="31"/>
      <c r="K1253" s="31"/>
      <c r="L1253" s="24">
        <f t="shared" si="497"/>
        <v>0</v>
      </c>
      <c r="M1253" s="30">
        <v>3509.55</v>
      </c>
      <c r="N1253" s="30"/>
      <c r="O1253" s="30"/>
      <c r="P1253" s="30"/>
    </row>
    <row r="1254" spans="1:16" s="1" customFormat="1" ht="30">
      <c r="A1254" s="28"/>
      <c r="B1254" s="41" t="s">
        <v>36</v>
      </c>
      <c r="C1254" s="24">
        <f t="shared" si="496"/>
        <v>0</v>
      </c>
      <c r="D1254" s="30"/>
      <c r="E1254" s="30"/>
      <c r="F1254" s="30"/>
      <c r="G1254" s="30"/>
      <c r="H1254" s="31"/>
      <c r="I1254" s="31"/>
      <c r="J1254" s="31"/>
      <c r="K1254" s="31"/>
      <c r="L1254" s="24">
        <f t="shared" si="497"/>
        <v>0</v>
      </c>
      <c r="M1254" s="30"/>
      <c r="N1254" s="30"/>
      <c r="O1254" s="30"/>
      <c r="P1254" s="30"/>
    </row>
    <row r="1255" spans="1:16" s="1" customFormat="1">
      <c r="A1255" s="28"/>
      <c r="B1255" s="42" t="s">
        <v>37</v>
      </c>
      <c r="C1255" s="24">
        <f t="shared" si="496"/>
        <v>0</v>
      </c>
      <c r="D1255" s="30"/>
      <c r="E1255" s="30"/>
      <c r="F1255" s="30"/>
      <c r="G1255" s="30"/>
      <c r="H1255" s="31"/>
      <c r="I1255" s="31"/>
      <c r="J1255" s="31"/>
      <c r="K1255" s="31"/>
      <c r="L1255" s="24">
        <f t="shared" si="497"/>
        <v>0</v>
      </c>
      <c r="M1255" s="30"/>
      <c r="N1255" s="30"/>
      <c r="O1255" s="30"/>
      <c r="P1255" s="30"/>
    </row>
    <row r="1256" spans="1:16" s="1" customFormat="1" ht="30">
      <c r="A1256" s="28"/>
      <c r="B1256" s="42" t="s">
        <v>38</v>
      </c>
      <c r="C1256" s="24">
        <f t="shared" si="496"/>
        <v>0</v>
      </c>
      <c r="D1256" s="30"/>
      <c r="E1256" s="30"/>
      <c r="F1256" s="30"/>
      <c r="G1256" s="30"/>
      <c r="H1256" s="31"/>
      <c r="I1256" s="31"/>
      <c r="J1256" s="31"/>
      <c r="K1256" s="31"/>
      <c r="L1256" s="24">
        <f t="shared" si="497"/>
        <v>0</v>
      </c>
      <c r="M1256" s="30"/>
      <c r="N1256" s="30"/>
      <c r="O1256" s="30"/>
      <c r="P1256" s="30"/>
    </row>
    <row r="1257" spans="1:16" s="1" customFormat="1" ht="30">
      <c r="A1257" s="28"/>
      <c r="B1257" s="43" t="s">
        <v>39</v>
      </c>
      <c r="C1257" s="36">
        <f t="shared" ref="C1257:G1257" si="498">SUM(C1258:C1264)</f>
        <v>3500</v>
      </c>
      <c r="D1257" s="36">
        <f t="shared" si="498"/>
        <v>0</v>
      </c>
      <c r="E1257" s="36">
        <f t="shared" si="498"/>
        <v>3500</v>
      </c>
      <c r="F1257" s="36">
        <f t="shared" si="498"/>
        <v>0</v>
      </c>
      <c r="G1257" s="36">
        <f t="shared" si="498"/>
        <v>0</v>
      </c>
      <c r="H1257" s="31"/>
      <c r="I1257" s="31"/>
      <c r="J1257" s="31"/>
      <c r="K1257" s="31"/>
      <c r="L1257" s="36">
        <f t="shared" ref="L1257:P1257" si="499">SUM(L1258:L1264)</f>
        <v>0</v>
      </c>
      <c r="M1257" s="36">
        <f t="shared" si="499"/>
        <v>0</v>
      </c>
      <c r="N1257" s="36">
        <f t="shared" si="499"/>
        <v>0</v>
      </c>
      <c r="O1257" s="36">
        <f t="shared" si="499"/>
        <v>0</v>
      </c>
      <c r="P1257" s="36">
        <f t="shared" si="499"/>
        <v>0</v>
      </c>
    </row>
    <row r="1258" spans="1:16" s="1" customFormat="1" ht="30">
      <c r="A1258" s="28" t="s">
        <v>40</v>
      </c>
      <c r="B1258" s="39" t="s">
        <v>41</v>
      </c>
      <c r="C1258" s="24">
        <f t="shared" ref="C1258:C1264" si="500">E1258+F1258+G1258</f>
        <v>0</v>
      </c>
      <c r="D1258" s="30"/>
      <c r="E1258" s="30"/>
      <c r="F1258" s="30"/>
      <c r="G1258" s="30"/>
      <c r="H1258" s="31"/>
      <c r="I1258" s="31"/>
      <c r="J1258" s="31"/>
      <c r="K1258" s="31"/>
      <c r="L1258" s="24">
        <f t="shared" ref="L1258:L1264" si="501">N1258+O1258+P1258</f>
        <v>0</v>
      </c>
      <c r="M1258" s="30"/>
      <c r="N1258" s="30"/>
      <c r="O1258" s="30"/>
      <c r="P1258" s="30"/>
    </row>
    <row r="1259" spans="1:16" s="1" customFormat="1">
      <c r="A1259" s="28"/>
      <c r="B1259" s="39" t="s">
        <v>42</v>
      </c>
      <c r="C1259" s="24">
        <f t="shared" si="500"/>
        <v>0</v>
      </c>
      <c r="D1259" s="30"/>
      <c r="E1259" s="30"/>
      <c r="F1259" s="30"/>
      <c r="G1259" s="30"/>
      <c r="H1259" s="31"/>
      <c r="I1259" s="31"/>
      <c r="J1259" s="31"/>
      <c r="K1259" s="31"/>
      <c r="L1259" s="24">
        <f t="shared" si="501"/>
        <v>0</v>
      </c>
      <c r="M1259" s="30"/>
      <c r="N1259" s="30"/>
      <c r="O1259" s="30"/>
      <c r="P1259" s="30"/>
    </row>
    <row r="1260" spans="1:16" s="1" customFormat="1">
      <c r="A1260" s="28"/>
      <c r="B1260" s="39" t="s">
        <v>43</v>
      </c>
      <c r="C1260" s="24">
        <f t="shared" si="500"/>
        <v>0</v>
      </c>
      <c r="D1260" s="30"/>
      <c r="E1260" s="30"/>
      <c r="F1260" s="30"/>
      <c r="G1260" s="30"/>
      <c r="H1260" s="31"/>
      <c r="I1260" s="31"/>
      <c r="J1260" s="31"/>
      <c r="K1260" s="31"/>
      <c r="L1260" s="24">
        <f t="shared" si="501"/>
        <v>0</v>
      </c>
      <c r="M1260" s="30"/>
      <c r="N1260" s="30"/>
      <c r="O1260" s="30"/>
      <c r="P1260" s="30"/>
    </row>
    <row r="1261" spans="1:16" s="1" customFormat="1">
      <c r="A1261" s="28"/>
      <c r="B1261" s="39" t="s">
        <v>44</v>
      </c>
      <c r="C1261" s="24">
        <f t="shared" si="500"/>
        <v>0</v>
      </c>
      <c r="D1261" s="30"/>
      <c r="E1261" s="30"/>
      <c r="F1261" s="30"/>
      <c r="G1261" s="30"/>
      <c r="H1261" s="31"/>
      <c r="I1261" s="31"/>
      <c r="J1261" s="31"/>
      <c r="K1261" s="31"/>
      <c r="L1261" s="24">
        <f t="shared" si="501"/>
        <v>0</v>
      </c>
      <c r="M1261" s="30"/>
      <c r="N1261" s="30"/>
      <c r="O1261" s="30"/>
      <c r="P1261" s="30"/>
    </row>
    <row r="1262" spans="1:16" s="1" customFormat="1">
      <c r="A1262" s="28"/>
      <c r="B1262" s="39" t="s">
        <v>45</v>
      </c>
      <c r="C1262" s="24">
        <f t="shared" si="500"/>
        <v>0</v>
      </c>
      <c r="D1262" s="30"/>
      <c r="E1262" s="30"/>
      <c r="F1262" s="30"/>
      <c r="G1262" s="30"/>
      <c r="H1262" s="31"/>
      <c r="I1262" s="31"/>
      <c r="J1262" s="31"/>
      <c r="K1262" s="31"/>
      <c r="L1262" s="24">
        <f t="shared" si="501"/>
        <v>0</v>
      </c>
      <c r="M1262" s="30"/>
      <c r="N1262" s="30"/>
      <c r="O1262" s="30"/>
      <c r="P1262" s="30"/>
    </row>
    <row r="1263" spans="1:16" s="1" customFormat="1" ht="30">
      <c r="A1263" s="28"/>
      <c r="B1263" s="39" t="s">
        <v>46</v>
      </c>
      <c r="C1263" s="24">
        <f t="shared" si="500"/>
        <v>0</v>
      </c>
      <c r="D1263" s="30"/>
      <c r="E1263" s="30"/>
      <c r="F1263" s="30"/>
      <c r="G1263" s="30"/>
      <c r="H1263" s="31"/>
      <c r="I1263" s="31"/>
      <c r="J1263" s="31"/>
      <c r="K1263" s="31"/>
      <c r="L1263" s="24">
        <f t="shared" si="501"/>
        <v>0</v>
      </c>
      <c r="M1263" s="30"/>
      <c r="N1263" s="30"/>
      <c r="O1263" s="30"/>
      <c r="P1263" s="30"/>
    </row>
    <row r="1264" spans="1:16" s="1" customFormat="1">
      <c r="A1264" s="28"/>
      <c r="B1264" s="39" t="s">
        <v>47</v>
      </c>
      <c r="C1264" s="24">
        <f t="shared" si="500"/>
        <v>3500</v>
      </c>
      <c r="D1264" s="30"/>
      <c r="E1264" s="30">
        <f>3500</f>
        <v>3500</v>
      </c>
      <c r="F1264" s="30"/>
      <c r="G1264" s="30"/>
      <c r="H1264" s="31"/>
      <c r="I1264" s="31"/>
      <c r="J1264" s="31"/>
      <c r="K1264" s="31"/>
      <c r="L1264" s="24">
        <f t="shared" si="501"/>
        <v>0</v>
      </c>
      <c r="M1264" s="30"/>
      <c r="N1264" s="30"/>
      <c r="O1264" s="30"/>
      <c r="P1264" s="30"/>
    </row>
    <row r="1265" spans="1:16" s="1" customFormat="1" ht="36.75" customHeight="1">
      <c r="A1265" s="211" t="s">
        <v>3</v>
      </c>
      <c r="B1265" s="213" t="s">
        <v>4</v>
      </c>
      <c r="C1265" s="213" t="s">
        <v>5</v>
      </c>
      <c r="D1265" s="10" t="s">
        <v>6</v>
      </c>
      <c r="E1265" s="215" t="s">
        <v>7</v>
      </c>
      <c r="F1265" s="216"/>
      <c r="G1265" s="217"/>
      <c r="H1265" s="218" t="s">
        <v>8</v>
      </c>
      <c r="I1265" s="218"/>
      <c r="J1265" s="218"/>
      <c r="K1265" s="11"/>
      <c r="L1265" s="219" t="s">
        <v>9</v>
      </c>
      <c r="M1265" s="12" t="s">
        <v>6</v>
      </c>
      <c r="N1265" s="208" t="s">
        <v>10</v>
      </c>
      <c r="O1265" s="209"/>
      <c r="P1265" s="210"/>
    </row>
    <row r="1266" spans="1:16" s="1" customFormat="1" ht="47.25" customHeight="1">
      <c r="A1266" s="212"/>
      <c r="B1266" s="214"/>
      <c r="C1266" s="214"/>
      <c r="D1266" s="13" t="s">
        <v>11</v>
      </c>
      <c r="E1266" s="13" t="s">
        <v>12</v>
      </c>
      <c r="F1266" s="13" t="s">
        <v>13</v>
      </c>
      <c r="G1266" s="13" t="s">
        <v>14</v>
      </c>
      <c r="H1266" s="14" t="s">
        <v>15</v>
      </c>
      <c r="I1266" s="14" t="s">
        <v>16</v>
      </c>
      <c r="J1266" s="14" t="s">
        <v>17</v>
      </c>
      <c r="K1266" s="14" t="s">
        <v>18</v>
      </c>
      <c r="L1266" s="220"/>
      <c r="M1266" s="15" t="s">
        <v>11</v>
      </c>
      <c r="N1266" s="15" t="s">
        <v>12</v>
      </c>
      <c r="O1266" s="15" t="s">
        <v>13</v>
      </c>
      <c r="P1266" s="15" t="s">
        <v>14</v>
      </c>
    </row>
    <row r="1267" spans="1:16" s="1" customFormat="1">
      <c r="A1267" s="90">
        <v>21</v>
      </c>
      <c r="B1267" s="17" t="s">
        <v>90</v>
      </c>
      <c r="C1267" s="92">
        <f t="shared" ref="C1267:G1267" si="502">C1268+C1269+C1270+C1271+C1272+C1273+C1274+C1275+C1280+C1281+C1282+C1283+C1284+C1285+C1286+C1287</f>
        <v>623494.51</v>
      </c>
      <c r="D1267" s="92">
        <f t="shared" si="502"/>
        <v>409273.30000000005</v>
      </c>
      <c r="E1267" s="92">
        <f t="shared" si="502"/>
        <v>246837.73</v>
      </c>
      <c r="F1267" s="92">
        <f t="shared" si="502"/>
        <v>0</v>
      </c>
      <c r="G1267" s="92">
        <f t="shared" si="502"/>
        <v>376656.78</v>
      </c>
      <c r="H1267" s="93"/>
      <c r="I1267" s="94"/>
      <c r="J1267" s="94"/>
      <c r="K1267" s="84"/>
      <c r="L1267" s="92">
        <f t="shared" ref="L1267:P1267" si="503">L1268+L1269+L1270+L1271+L1272+L1273+L1274+L1275+L1280+L1281+L1282+L1283+L1284+L1285+L1286+L1287</f>
        <v>0</v>
      </c>
      <c r="M1267" s="92">
        <f t="shared" si="503"/>
        <v>409273.30000000005</v>
      </c>
      <c r="N1267" s="92">
        <f t="shared" si="503"/>
        <v>0</v>
      </c>
      <c r="O1267" s="92">
        <f t="shared" si="503"/>
        <v>0</v>
      </c>
      <c r="P1267" s="92">
        <f t="shared" si="503"/>
        <v>0</v>
      </c>
    </row>
    <row r="1268" spans="1:16" s="1" customFormat="1">
      <c r="A1268" s="22"/>
      <c r="B1268" s="23" t="s">
        <v>20</v>
      </c>
      <c r="C1268" s="24">
        <f t="shared" ref="C1268:C1274" si="504">E1268+F1268+G1268</f>
        <v>376656.78</v>
      </c>
      <c r="D1268" s="25"/>
      <c r="E1268" s="25"/>
      <c r="F1268" s="25"/>
      <c r="G1268" s="25">
        <v>376656.78</v>
      </c>
      <c r="H1268" s="60"/>
      <c r="I1268" s="61"/>
      <c r="J1268" s="61"/>
      <c r="K1268" s="27"/>
      <c r="L1268" s="24">
        <f t="shared" ref="L1268:L1274" si="505">N1268+O1268+P1268</f>
        <v>0</v>
      </c>
      <c r="M1268" s="25"/>
      <c r="N1268" s="25"/>
      <c r="O1268" s="25"/>
      <c r="P1268" s="25"/>
    </row>
    <row r="1269" spans="1:16" s="1" customFormat="1">
      <c r="A1269" s="28"/>
      <c r="B1269" s="29" t="s">
        <v>21</v>
      </c>
      <c r="C1269" s="24">
        <f t="shared" si="504"/>
        <v>0</v>
      </c>
      <c r="D1269" s="30"/>
      <c r="E1269" s="30"/>
      <c r="F1269" s="30"/>
      <c r="G1269" s="30"/>
      <c r="H1269" s="31"/>
      <c r="I1269" s="31"/>
      <c r="J1269" s="31"/>
      <c r="K1269" s="31"/>
      <c r="L1269" s="24">
        <f t="shared" si="505"/>
        <v>0</v>
      </c>
      <c r="M1269" s="30"/>
      <c r="N1269" s="30"/>
      <c r="O1269" s="30"/>
      <c r="P1269" s="30"/>
    </row>
    <row r="1270" spans="1:16" s="1" customFormat="1">
      <c r="A1270" s="28"/>
      <c r="B1270" s="32" t="s">
        <v>22</v>
      </c>
      <c r="C1270" s="24">
        <f t="shared" si="504"/>
        <v>0</v>
      </c>
      <c r="D1270" s="30"/>
      <c r="E1270" s="30"/>
      <c r="F1270" s="30"/>
      <c r="G1270" s="30"/>
      <c r="H1270" s="31"/>
      <c r="I1270" s="31"/>
      <c r="J1270" s="31"/>
      <c r="K1270" s="31"/>
      <c r="L1270" s="24">
        <f t="shared" si="505"/>
        <v>0</v>
      </c>
      <c r="M1270" s="30"/>
      <c r="N1270" s="30"/>
      <c r="O1270" s="30"/>
      <c r="P1270" s="30"/>
    </row>
    <row r="1271" spans="1:16" s="1" customFormat="1">
      <c r="A1271" s="28"/>
      <c r="B1271" s="32" t="s">
        <v>23</v>
      </c>
      <c r="C1271" s="24">
        <f t="shared" si="504"/>
        <v>8047.8</v>
      </c>
      <c r="D1271" s="30"/>
      <c r="E1271" s="30">
        <v>8047.8</v>
      </c>
      <c r="F1271" s="30"/>
      <c r="G1271" s="30"/>
      <c r="H1271" s="31"/>
      <c r="I1271" s="31"/>
      <c r="J1271" s="31"/>
      <c r="K1271" s="31"/>
      <c r="L1271" s="24">
        <f t="shared" si="505"/>
        <v>0</v>
      </c>
      <c r="M1271" s="30"/>
      <c r="N1271" s="30"/>
      <c r="O1271" s="30"/>
      <c r="P1271" s="30"/>
    </row>
    <row r="1272" spans="1:16" s="1" customFormat="1">
      <c r="A1272" s="28"/>
      <c r="B1272" s="29" t="s">
        <v>24</v>
      </c>
      <c r="C1272" s="24">
        <f t="shared" si="504"/>
        <v>0</v>
      </c>
      <c r="D1272" s="30">
        <v>82223.69</v>
      </c>
      <c r="E1272" s="30"/>
      <c r="F1272" s="30"/>
      <c r="G1272" s="30"/>
      <c r="H1272" s="31"/>
      <c r="I1272" s="31"/>
      <c r="J1272" s="31"/>
      <c r="K1272" s="31"/>
      <c r="L1272" s="24">
        <f t="shared" si="505"/>
        <v>0</v>
      </c>
      <c r="M1272" s="30">
        <v>82223.69</v>
      </c>
      <c r="N1272" s="30"/>
      <c r="O1272" s="30"/>
      <c r="P1272" s="30"/>
    </row>
    <row r="1273" spans="1:16" s="1" customFormat="1">
      <c r="A1273" s="28"/>
      <c r="B1273" s="34" t="s">
        <v>25</v>
      </c>
      <c r="C1273" s="24">
        <f t="shared" si="504"/>
        <v>0</v>
      </c>
      <c r="D1273" s="30">
        <v>2631.6</v>
      </c>
      <c r="E1273" s="30"/>
      <c r="F1273" s="30"/>
      <c r="G1273" s="30"/>
      <c r="H1273" s="31"/>
      <c r="I1273" s="31"/>
      <c r="J1273" s="31"/>
      <c r="K1273" s="31"/>
      <c r="L1273" s="24">
        <f t="shared" si="505"/>
        <v>0</v>
      </c>
      <c r="M1273" s="30">
        <v>2631.6</v>
      </c>
      <c r="N1273" s="30"/>
      <c r="O1273" s="30"/>
      <c r="P1273" s="30"/>
    </row>
    <row r="1274" spans="1:16" s="1" customFormat="1">
      <c r="A1274" s="28"/>
      <c r="B1274" s="32" t="s">
        <v>26</v>
      </c>
      <c r="C1274" s="24">
        <f t="shared" si="504"/>
        <v>0</v>
      </c>
      <c r="D1274" s="30"/>
      <c r="E1274" s="30"/>
      <c r="F1274" s="30"/>
      <c r="G1274" s="30"/>
      <c r="H1274" s="31"/>
      <c r="I1274" s="31"/>
      <c r="J1274" s="31"/>
      <c r="K1274" s="31"/>
      <c r="L1274" s="24">
        <f t="shared" si="505"/>
        <v>0</v>
      </c>
      <c r="M1274" s="30"/>
      <c r="N1274" s="30"/>
      <c r="O1274" s="30"/>
      <c r="P1274" s="30"/>
    </row>
    <row r="1275" spans="1:16" s="1" customFormat="1" ht="30">
      <c r="A1275" s="28"/>
      <c r="B1275" s="35" t="s">
        <v>27</v>
      </c>
      <c r="C1275" s="36">
        <f t="shared" ref="C1275:G1275" si="506">SUM(C1276:C1279)</f>
        <v>0</v>
      </c>
      <c r="D1275" s="36">
        <f t="shared" si="506"/>
        <v>0</v>
      </c>
      <c r="E1275" s="36">
        <f t="shared" si="506"/>
        <v>0</v>
      </c>
      <c r="F1275" s="36">
        <f t="shared" si="506"/>
        <v>0</v>
      </c>
      <c r="G1275" s="36">
        <f t="shared" si="506"/>
        <v>0</v>
      </c>
      <c r="H1275" s="31"/>
      <c r="I1275" s="31"/>
      <c r="J1275" s="31"/>
      <c r="K1275" s="31"/>
      <c r="L1275" s="36">
        <f t="shared" ref="L1275:P1275" si="507">SUM(L1276:L1279)</f>
        <v>0</v>
      </c>
      <c r="M1275" s="36">
        <f t="shared" si="507"/>
        <v>0</v>
      </c>
      <c r="N1275" s="36">
        <f t="shared" si="507"/>
        <v>0</v>
      </c>
      <c r="O1275" s="36">
        <f t="shared" si="507"/>
        <v>0</v>
      </c>
      <c r="P1275" s="36">
        <f t="shared" si="507"/>
        <v>0</v>
      </c>
    </row>
    <row r="1276" spans="1:16" s="1" customFormat="1">
      <c r="A1276" s="28"/>
      <c r="B1276" s="38" t="s">
        <v>28</v>
      </c>
      <c r="C1276" s="24">
        <f t="shared" ref="C1276:C1286" si="508">E1276+F1276+G1276</f>
        <v>0</v>
      </c>
      <c r="D1276" s="30"/>
      <c r="E1276" s="30"/>
      <c r="F1276" s="30"/>
      <c r="G1276" s="30"/>
      <c r="H1276" s="31"/>
      <c r="I1276" s="31"/>
      <c r="J1276" s="31"/>
      <c r="K1276" s="31"/>
      <c r="L1276" s="24">
        <f t="shared" ref="L1276:L1286" si="509">N1276+O1276+P1276</f>
        <v>0</v>
      </c>
      <c r="M1276" s="30"/>
      <c r="N1276" s="30"/>
      <c r="O1276" s="30"/>
      <c r="P1276" s="30"/>
    </row>
    <row r="1277" spans="1:16" s="1" customFormat="1">
      <c r="A1277" s="28"/>
      <c r="B1277" s="38" t="s">
        <v>29</v>
      </c>
      <c r="C1277" s="24">
        <f t="shared" si="508"/>
        <v>0</v>
      </c>
      <c r="D1277" s="30"/>
      <c r="E1277" s="30"/>
      <c r="F1277" s="30"/>
      <c r="G1277" s="30"/>
      <c r="H1277" s="31"/>
      <c r="I1277" s="31"/>
      <c r="J1277" s="31"/>
      <c r="K1277" s="31"/>
      <c r="L1277" s="24">
        <f t="shared" si="509"/>
        <v>0</v>
      </c>
      <c r="M1277" s="30"/>
      <c r="N1277" s="30"/>
      <c r="O1277" s="30"/>
      <c r="P1277" s="30"/>
    </row>
    <row r="1278" spans="1:16" s="1" customFormat="1">
      <c r="A1278" s="28"/>
      <c r="B1278" s="38" t="s">
        <v>30</v>
      </c>
      <c r="C1278" s="24">
        <f t="shared" si="508"/>
        <v>0</v>
      </c>
      <c r="D1278" s="30"/>
      <c r="E1278" s="30"/>
      <c r="F1278" s="30"/>
      <c r="G1278" s="30"/>
      <c r="H1278" s="31"/>
      <c r="I1278" s="31"/>
      <c r="J1278" s="31"/>
      <c r="K1278" s="31"/>
      <c r="L1278" s="24">
        <f t="shared" si="509"/>
        <v>0</v>
      </c>
      <c r="M1278" s="30"/>
      <c r="N1278" s="30"/>
      <c r="O1278" s="30"/>
      <c r="P1278" s="30"/>
    </row>
    <row r="1279" spans="1:16" s="1" customFormat="1">
      <c r="A1279" s="28"/>
      <c r="B1279" s="38" t="s">
        <v>31</v>
      </c>
      <c r="C1279" s="24">
        <f t="shared" si="508"/>
        <v>0</v>
      </c>
      <c r="D1279" s="30"/>
      <c r="E1279" s="30"/>
      <c r="F1279" s="30"/>
      <c r="G1279" s="30"/>
      <c r="H1279" s="31"/>
      <c r="I1279" s="31"/>
      <c r="J1279" s="31"/>
      <c r="K1279" s="31"/>
      <c r="L1279" s="24">
        <f t="shared" si="509"/>
        <v>0</v>
      </c>
      <c r="M1279" s="30"/>
      <c r="N1279" s="30"/>
      <c r="O1279" s="30"/>
      <c r="P1279" s="30"/>
    </row>
    <row r="1280" spans="1:16" s="1" customFormat="1" ht="30">
      <c r="A1280" s="28"/>
      <c r="B1280" s="39" t="s">
        <v>32</v>
      </c>
      <c r="C1280" s="24">
        <f t="shared" si="508"/>
        <v>0</v>
      </c>
      <c r="D1280" s="30"/>
      <c r="E1280" s="30"/>
      <c r="F1280" s="30"/>
      <c r="G1280" s="30"/>
      <c r="H1280" s="31"/>
      <c r="I1280" s="31"/>
      <c r="J1280" s="31"/>
      <c r="K1280" s="31"/>
      <c r="L1280" s="24">
        <f t="shared" si="509"/>
        <v>0</v>
      </c>
      <c r="M1280" s="30"/>
      <c r="N1280" s="30"/>
      <c r="O1280" s="30"/>
      <c r="P1280" s="30"/>
    </row>
    <row r="1281" spans="1:16" s="1" customFormat="1" ht="30">
      <c r="A1281" s="28"/>
      <c r="B1281" s="39" t="s">
        <v>33</v>
      </c>
      <c r="C1281" s="24">
        <f t="shared" si="508"/>
        <v>538.92999999999995</v>
      </c>
      <c r="D1281" s="30"/>
      <c r="E1281" s="30">
        <v>538.92999999999995</v>
      </c>
      <c r="F1281" s="30"/>
      <c r="G1281" s="30"/>
      <c r="H1281" s="31"/>
      <c r="I1281" s="31"/>
      <c r="J1281" s="31"/>
      <c r="K1281" s="31"/>
      <c r="L1281" s="24">
        <f t="shared" si="509"/>
        <v>0</v>
      </c>
      <c r="M1281" s="30"/>
      <c r="N1281" s="30"/>
      <c r="O1281" s="30"/>
      <c r="P1281" s="30"/>
    </row>
    <row r="1282" spans="1:16" s="1" customFormat="1" ht="30">
      <c r="A1282" s="28"/>
      <c r="B1282" s="40" t="s">
        <v>34</v>
      </c>
      <c r="C1282" s="24">
        <f t="shared" si="508"/>
        <v>0</v>
      </c>
      <c r="D1282" s="30"/>
      <c r="E1282" s="30"/>
      <c r="F1282" s="30"/>
      <c r="G1282" s="30"/>
      <c r="H1282" s="31"/>
      <c r="I1282" s="31"/>
      <c r="J1282" s="31"/>
      <c r="K1282" s="31"/>
      <c r="L1282" s="24">
        <f t="shared" si="509"/>
        <v>0</v>
      </c>
      <c r="M1282" s="30"/>
      <c r="N1282" s="30"/>
      <c r="O1282" s="30"/>
      <c r="P1282" s="30"/>
    </row>
    <row r="1283" spans="1:16" s="1" customFormat="1">
      <c r="A1283" s="28"/>
      <c r="B1283" s="40" t="s">
        <v>35</v>
      </c>
      <c r="C1283" s="24">
        <f t="shared" si="508"/>
        <v>0</v>
      </c>
      <c r="D1283" s="30">
        <v>1900</v>
      </c>
      <c r="E1283" s="30"/>
      <c r="F1283" s="30"/>
      <c r="G1283" s="30"/>
      <c r="H1283" s="31"/>
      <c r="I1283" s="31"/>
      <c r="J1283" s="31"/>
      <c r="K1283" s="31"/>
      <c r="L1283" s="24">
        <f t="shared" si="509"/>
        <v>0</v>
      </c>
      <c r="M1283" s="30">
        <v>1900</v>
      </c>
      <c r="N1283" s="30"/>
      <c r="O1283" s="30"/>
      <c r="P1283" s="30"/>
    </row>
    <row r="1284" spans="1:16" s="1" customFormat="1" ht="30">
      <c r="A1284" s="28"/>
      <c r="B1284" s="41" t="s">
        <v>36</v>
      </c>
      <c r="C1284" s="24">
        <f t="shared" si="508"/>
        <v>0</v>
      </c>
      <c r="D1284" s="30"/>
      <c r="E1284" s="30"/>
      <c r="F1284" s="30"/>
      <c r="G1284" s="30"/>
      <c r="H1284" s="31"/>
      <c r="I1284" s="31"/>
      <c r="J1284" s="31"/>
      <c r="K1284" s="31"/>
      <c r="L1284" s="24">
        <f t="shared" si="509"/>
        <v>0</v>
      </c>
      <c r="M1284" s="30"/>
      <c r="N1284" s="30"/>
      <c r="O1284" s="30"/>
      <c r="P1284" s="30"/>
    </row>
    <row r="1285" spans="1:16" s="1" customFormat="1">
      <c r="A1285" s="28"/>
      <c r="B1285" s="42" t="s">
        <v>37</v>
      </c>
      <c r="C1285" s="24">
        <f t="shared" si="508"/>
        <v>238251</v>
      </c>
      <c r="D1285" s="30"/>
      <c r="E1285" s="30">
        <f>236262+257+1732</f>
        <v>238251</v>
      </c>
      <c r="F1285" s="30"/>
      <c r="G1285" s="30"/>
      <c r="H1285" s="31"/>
      <c r="I1285" s="31"/>
      <c r="J1285" s="31"/>
      <c r="K1285" s="31"/>
      <c r="L1285" s="24">
        <f t="shared" si="509"/>
        <v>0</v>
      </c>
      <c r="M1285" s="30"/>
      <c r="N1285" s="30"/>
      <c r="O1285" s="30"/>
      <c r="P1285" s="30"/>
    </row>
    <row r="1286" spans="1:16" s="1" customFormat="1" ht="30">
      <c r="A1286" s="28"/>
      <c r="B1286" s="42" t="s">
        <v>38</v>
      </c>
      <c r="C1286" s="24">
        <f t="shared" si="508"/>
        <v>0</v>
      </c>
      <c r="D1286" s="30">
        <v>259917</v>
      </c>
      <c r="E1286" s="30"/>
      <c r="F1286" s="30"/>
      <c r="G1286" s="30"/>
      <c r="H1286" s="31"/>
      <c r="I1286" s="31"/>
      <c r="J1286" s="31"/>
      <c r="K1286" s="31"/>
      <c r="L1286" s="24">
        <f t="shared" si="509"/>
        <v>0</v>
      </c>
      <c r="M1286" s="30">
        <v>259917</v>
      </c>
      <c r="N1286" s="30"/>
      <c r="O1286" s="30"/>
      <c r="P1286" s="30"/>
    </row>
    <row r="1287" spans="1:16" s="1" customFormat="1" ht="30">
      <c r="A1287" s="28"/>
      <c r="B1287" s="43" t="s">
        <v>39</v>
      </c>
      <c r="C1287" s="36">
        <f t="shared" ref="C1287:G1287" si="510">SUM(C1288:C1294)</f>
        <v>0</v>
      </c>
      <c r="D1287" s="36">
        <f t="shared" si="510"/>
        <v>62601.01</v>
      </c>
      <c r="E1287" s="36">
        <f t="shared" si="510"/>
        <v>0</v>
      </c>
      <c r="F1287" s="36">
        <f t="shared" si="510"/>
        <v>0</v>
      </c>
      <c r="G1287" s="36">
        <f t="shared" si="510"/>
        <v>0</v>
      </c>
      <c r="H1287" s="31"/>
      <c r="I1287" s="31"/>
      <c r="J1287" s="31"/>
      <c r="K1287" s="31"/>
      <c r="L1287" s="36">
        <f t="shared" ref="L1287:P1287" si="511">SUM(L1288:L1294)</f>
        <v>0</v>
      </c>
      <c r="M1287" s="36">
        <f t="shared" si="511"/>
        <v>62601.01</v>
      </c>
      <c r="N1287" s="36">
        <f t="shared" si="511"/>
        <v>0</v>
      </c>
      <c r="O1287" s="36">
        <f t="shared" si="511"/>
        <v>0</v>
      </c>
      <c r="P1287" s="36">
        <f t="shared" si="511"/>
        <v>0</v>
      </c>
    </row>
    <row r="1288" spans="1:16" s="1" customFormat="1" ht="30">
      <c r="A1288" s="28" t="s">
        <v>40</v>
      </c>
      <c r="B1288" s="39" t="s">
        <v>41</v>
      </c>
      <c r="C1288" s="24">
        <f t="shared" ref="C1288:C1294" si="512">E1288+F1288+G1288</f>
        <v>0</v>
      </c>
      <c r="D1288" s="30"/>
      <c r="E1288" s="30"/>
      <c r="F1288" s="30"/>
      <c r="G1288" s="30"/>
      <c r="H1288" s="31"/>
      <c r="I1288" s="31"/>
      <c r="J1288" s="31"/>
      <c r="K1288" s="31"/>
      <c r="L1288" s="24">
        <f t="shared" ref="L1288:L1294" si="513">N1288+O1288+P1288</f>
        <v>0</v>
      </c>
      <c r="M1288" s="30"/>
      <c r="N1288" s="30"/>
      <c r="O1288" s="30"/>
      <c r="P1288" s="30"/>
    </row>
    <row r="1289" spans="1:16" s="1" customFormat="1">
      <c r="A1289" s="28"/>
      <c r="B1289" s="39" t="s">
        <v>42</v>
      </c>
      <c r="C1289" s="24">
        <f t="shared" si="512"/>
        <v>0</v>
      </c>
      <c r="D1289" s="30"/>
      <c r="E1289" s="30"/>
      <c r="F1289" s="30"/>
      <c r="G1289" s="30"/>
      <c r="H1289" s="31"/>
      <c r="I1289" s="31"/>
      <c r="J1289" s="31"/>
      <c r="K1289" s="31"/>
      <c r="L1289" s="24">
        <f t="shared" si="513"/>
        <v>0</v>
      </c>
      <c r="M1289" s="30"/>
      <c r="N1289" s="30"/>
      <c r="O1289" s="30"/>
      <c r="P1289" s="30"/>
    </row>
    <row r="1290" spans="1:16" s="1" customFormat="1">
      <c r="A1290" s="28"/>
      <c r="B1290" s="39" t="s">
        <v>43</v>
      </c>
      <c r="C1290" s="24">
        <f t="shared" si="512"/>
        <v>0</v>
      </c>
      <c r="D1290" s="30"/>
      <c r="E1290" s="30"/>
      <c r="F1290" s="30"/>
      <c r="G1290" s="30"/>
      <c r="H1290" s="31"/>
      <c r="I1290" s="31"/>
      <c r="J1290" s="31"/>
      <c r="K1290" s="31"/>
      <c r="L1290" s="24">
        <f t="shared" si="513"/>
        <v>0</v>
      </c>
      <c r="M1290" s="30"/>
      <c r="N1290" s="30"/>
      <c r="O1290" s="30"/>
      <c r="P1290" s="30"/>
    </row>
    <row r="1291" spans="1:16" s="1" customFormat="1">
      <c r="A1291" s="28"/>
      <c r="B1291" s="39" t="s">
        <v>44</v>
      </c>
      <c r="C1291" s="24">
        <f t="shared" si="512"/>
        <v>0</v>
      </c>
      <c r="D1291" s="30"/>
      <c r="E1291" s="30"/>
      <c r="F1291" s="30"/>
      <c r="G1291" s="30"/>
      <c r="H1291" s="31"/>
      <c r="I1291" s="31"/>
      <c r="J1291" s="31"/>
      <c r="K1291" s="31"/>
      <c r="L1291" s="24">
        <f t="shared" si="513"/>
        <v>0</v>
      </c>
      <c r="M1291" s="30"/>
      <c r="N1291" s="30"/>
      <c r="O1291" s="30"/>
      <c r="P1291" s="30"/>
    </row>
    <row r="1292" spans="1:16" s="1" customFormat="1">
      <c r="A1292" s="28"/>
      <c r="B1292" s="39" t="s">
        <v>45</v>
      </c>
      <c r="C1292" s="24">
        <f t="shared" si="512"/>
        <v>0</v>
      </c>
      <c r="D1292" s="30">
        <v>14163.62</v>
      </c>
      <c r="E1292" s="30"/>
      <c r="F1292" s="30"/>
      <c r="G1292" s="30"/>
      <c r="H1292" s="31"/>
      <c r="I1292" s="31"/>
      <c r="J1292" s="31"/>
      <c r="K1292" s="31"/>
      <c r="L1292" s="24">
        <f t="shared" si="513"/>
        <v>0</v>
      </c>
      <c r="M1292" s="30">
        <v>14163.62</v>
      </c>
      <c r="N1292" s="30"/>
      <c r="O1292" s="30"/>
      <c r="P1292" s="30"/>
    </row>
    <row r="1293" spans="1:16" s="1" customFormat="1" ht="30">
      <c r="A1293" s="28"/>
      <c r="B1293" s="39" t="s">
        <v>46</v>
      </c>
      <c r="C1293" s="24">
        <f t="shared" si="512"/>
        <v>0</v>
      </c>
      <c r="D1293" s="30"/>
      <c r="E1293" s="30"/>
      <c r="F1293" s="30"/>
      <c r="G1293" s="30"/>
      <c r="H1293" s="31"/>
      <c r="I1293" s="31"/>
      <c r="J1293" s="31"/>
      <c r="K1293" s="31"/>
      <c r="L1293" s="24">
        <f t="shared" si="513"/>
        <v>0</v>
      </c>
      <c r="M1293" s="30"/>
      <c r="N1293" s="30"/>
      <c r="O1293" s="30"/>
      <c r="P1293" s="30"/>
    </row>
    <row r="1294" spans="1:16" s="1" customFormat="1">
      <c r="A1294" s="28"/>
      <c r="B1294" s="39" t="s">
        <v>47</v>
      </c>
      <c r="C1294" s="24">
        <f t="shared" si="512"/>
        <v>0</v>
      </c>
      <c r="D1294" s="30">
        <v>48437.39</v>
      </c>
      <c r="E1294" s="30"/>
      <c r="F1294" s="30"/>
      <c r="G1294" s="30"/>
      <c r="H1294" s="31"/>
      <c r="I1294" s="31"/>
      <c r="J1294" s="31"/>
      <c r="K1294" s="31"/>
      <c r="L1294" s="24">
        <f t="shared" si="513"/>
        <v>0</v>
      </c>
      <c r="M1294" s="30">
        <v>48437.39</v>
      </c>
      <c r="N1294" s="30"/>
      <c r="O1294" s="30"/>
      <c r="P1294" s="30"/>
    </row>
    <row r="1295" spans="1:16" s="1" customFormat="1" ht="36.75" customHeight="1">
      <c r="A1295" s="211" t="s">
        <v>3</v>
      </c>
      <c r="B1295" s="213" t="s">
        <v>4</v>
      </c>
      <c r="C1295" s="213" t="s">
        <v>5</v>
      </c>
      <c r="D1295" s="10" t="s">
        <v>6</v>
      </c>
      <c r="E1295" s="215" t="s">
        <v>7</v>
      </c>
      <c r="F1295" s="216"/>
      <c r="G1295" s="217"/>
      <c r="H1295" s="218" t="s">
        <v>8</v>
      </c>
      <c r="I1295" s="218"/>
      <c r="J1295" s="218"/>
      <c r="K1295" s="11"/>
      <c r="L1295" s="219" t="s">
        <v>9</v>
      </c>
      <c r="M1295" s="12" t="s">
        <v>6</v>
      </c>
      <c r="N1295" s="208" t="s">
        <v>10</v>
      </c>
      <c r="O1295" s="209"/>
      <c r="P1295" s="210"/>
    </row>
    <row r="1296" spans="1:16" s="1" customFormat="1" ht="47.25" customHeight="1">
      <c r="A1296" s="212"/>
      <c r="B1296" s="214"/>
      <c r="C1296" s="214"/>
      <c r="D1296" s="13" t="s">
        <v>11</v>
      </c>
      <c r="E1296" s="13" t="s">
        <v>12</v>
      </c>
      <c r="F1296" s="13" t="s">
        <v>13</v>
      </c>
      <c r="G1296" s="13" t="s">
        <v>14</v>
      </c>
      <c r="H1296" s="14" t="s">
        <v>15</v>
      </c>
      <c r="I1296" s="14" t="s">
        <v>16</v>
      </c>
      <c r="J1296" s="14" t="s">
        <v>17</v>
      </c>
      <c r="K1296" s="14" t="s">
        <v>18</v>
      </c>
      <c r="L1296" s="220"/>
      <c r="M1296" s="15" t="s">
        <v>11</v>
      </c>
      <c r="N1296" s="15" t="s">
        <v>12</v>
      </c>
      <c r="O1296" s="15" t="s">
        <v>13</v>
      </c>
      <c r="P1296" s="15" t="s">
        <v>14</v>
      </c>
    </row>
    <row r="1297" spans="1:16" s="1" customFormat="1">
      <c r="A1297" s="80">
        <v>22</v>
      </c>
      <c r="B1297" s="53" t="s">
        <v>91</v>
      </c>
      <c r="C1297" s="81">
        <f t="shared" ref="C1297:G1297" si="514">C1298+C1299+C1300+C1301+C1302+C1303+C1304+C1305+C1310+C1311+C1312+C1313+C1314+C1315+C1316+C1317</f>
        <v>11880</v>
      </c>
      <c r="D1297" s="81">
        <f t="shared" si="514"/>
        <v>1108983.3400000001</v>
      </c>
      <c r="E1297" s="81">
        <f t="shared" si="514"/>
        <v>11880</v>
      </c>
      <c r="F1297" s="81">
        <f t="shared" si="514"/>
        <v>0</v>
      </c>
      <c r="G1297" s="81">
        <f t="shared" si="514"/>
        <v>0</v>
      </c>
      <c r="H1297" s="93"/>
      <c r="I1297" s="94"/>
      <c r="J1297" s="94"/>
      <c r="K1297" s="84"/>
      <c r="L1297" s="81">
        <f t="shared" ref="L1297:P1297" si="515">L1298+L1299+L1300+L1301+L1302+L1303+L1304+L1305+L1310+L1311+L1312+L1313+L1314+L1315+L1316+L1317</f>
        <v>0</v>
      </c>
      <c r="M1297" s="81">
        <f t="shared" si="515"/>
        <v>1108983.3400000001</v>
      </c>
      <c r="N1297" s="81">
        <f t="shared" si="515"/>
        <v>0</v>
      </c>
      <c r="O1297" s="81">
        <f t="shared" si="515"/>
        <v>0</v>
      </c>
      <c r="P1297" s="81">
        <f t="shared" si="515"/>
        <v>0</v>
      </c>
    </row>
    <row r="1298" spans="1:16" s="5" customFormat="1">
      <c r="A1298" s="22"/>
      <c r="B1298" s="95" t="s">
        <v>20</v>
      </c>
      <c r="C1298" s="24">
        <f t="shared" ref="C1298:C1304" si="516">E1298+F1298+G1298</f>
        <v>0</v>
      </c>
      <c r="D1298" s="25"/>
      <c r="E1298" s="25"/>
      <c r="F1298" s="25"/>
      <c r="G1298" s="25"/>
      <c r="H1298" s="60"/>
      <c r="I1298" s="61"/>
      <c r="J1298" s="61"/>
      <c r="K1298" s="27"/>
      <c r="L1298" s="24">
        <f t="shared" ref="L1298:L1304" si="517">N1298+O1298+P1298</f>
        <v>0</v>
      </c>
      <c r="M1298" s="25"/>
      <c r="N1298" s="25"/>
      <c r="O1298" s="25"/>
      <c r="P1298" s="25"/>
    </row>
    <row r="1299" spans="1:16" s="1" customFormat="1">
      <c r="A1299" s="28"/>
      <c r="B1299" s="29" t="s">
        <v>21</v>
      </c>
      <c r="C1299" s="24">
        <f t="shared" si="516"/>
        <v>0</v>
      </c>
      <c r="D1299" s="30"/>
      <c r="E1299" s="30"/>
      <c r="F1299" s="30"/>
      <c r="G1299" s="30"/>
      <c r="H1299" s="31"/>
      <c r="I1299" s="31"/>
      <c r="J1299" s="31"/>
      <c r="K1299" s="31"/>
      <c r="L1299" s="24">
        <f t="shared" si="517"/>
        <v>0</v>
      </c>
      <c r="M1299" s="30"/>
      <c r="N1299" s="30"/>
      <c r="O1299" s="30"/>
      <c r="P1299" s="30"/>
    </row>
    <row r="1300" spans="1:16" s="1" customFormat="1">
      <c r="A1300" s="28"/>
      <c r="B1300" s="32" t="s">
        <v>22</v>
      </c>
      <c r="C1300" s="24">
        <f t="shared" si="516"/>
        <v>0</v>
      </c>
      <c r="D1300" s="30"/>
      <c r="E1300" s="30"/>
      <c r="F1300" s="30"/>
      <c r="G1300" s="30"/>
      <c r="H1300" s="31"/>
      <c r="I1300" s="31"/>
      <c r="J1300" s="31"/>
      <c r="K1300" s="31"/>
      <c r="L1300" s="24">
        <f t="shared" si="517"/>
        <v>0</v>
      </c>
      <c r="M1300" s="30"/>
      <c r="N1300" s="30"/>
      <c r="O1300" s="30"/>
      <c r="P1300" s="30"/>
    </row>
    <row r="1301" spans="1:16" s="1" customFormat="1">
      <c r="A1301" s="28"/>
      <c r="B1301" s="32" t="s">
        <v>23</v>
      </c>
      <c r="C1301" s="24">
        <f t="shared" si="516"/>
        <v>11880</v>
      </c>
      <c r="D1301" s="30"/>
      <c r="E1301" s="30">
        <v>11880</v>
      </c>
      <c r="F1301" s="30"/>
      <c r="G1301" s="30"/>
      <c r="H1301" s="31"/>
      <c r="I1301" s="31"/>
      <c r="J1301" s="31"/>
      <c r="K1301" s="31"/>
      <c r="L1301" s="24">
        <f t="shared" si="517"/>
        <v>0</v>
      </c>
      <c r="M1301" s="30"/>
      <c r="N1301" s="30"/>
      <c r="O1301" s="30"/>
      <c r="P1301" s="30"/>
    </row>
    <row r="1302" spans="1:16" s="1" customFormat="1">
      <c r="A1302" s="28"/>
      <c r="B1302" s="29" t="s">
        <v>24</v>
      </c>
      <c r="C1302" s="24">
        <f t="shared" si="516"/>
        <v>0</v>
      </c>
      <c r="D1302" s="24">
        <f>115197.56+18.6+1+0.08+1</f>
        <v>115218.24000000001</v>
      </c>
      <c r="E1302" s="30"/>
      <c r="F1302" s="30"/>
      <c r="G1302" s="30"/>
      <c r="H1302" s="31"/>
      <c r="I1302" s="31"/>
      <c r="J1302" s="31"/>
      <c r="K1302" s="31"/>
      <c r="L1302" s="24">
        <f t="shared" si="517"/>
        <v>0</v>
      </c>
      <c r="M1302" s="24">
        <f>115197.56+18.6+1+0.08+1</f>
        <v>115218.24000000001</v>
      </c>
      <c r="N1302" s="30"/>
      <c r="O1302" s="30"/>
      <c r="P1302" s="30"/>
    </row>
    <row r="1303" spans="1:16" s="1" customFormat="1">
      <c r="A1303" s="28"/>
      <c r="B1303" s="34" t="s">
        <v>25</v>
      </c>
      <c r="C1303" s="24">
        <f t="shared" si="516"/>
        <v>0</v>
      </c>
      <c r="D1303" s="30"/>
      <c r="E1303" s="30"/>
      <c r="F1303" s="30"/>
      <c r="G1303" s="30"/>
      <c r="H1303" s="31"/>
      <c r="I1303" s="31"/>
      <c r="J1303" s="31"/>
      <c r="K1303" s="31"/>
      <c r="L1303" s="24">
        <f t="shared" si="517"/>
        <v>0</v>
      </c>
      <c r="M1303" s="30"/>
      <c r="N1303" s="30"/>
      <c r="O1303" s="30"/>
      <c r="P1303" s="30"/>
    </row>
    <row r="1304" spans="1:16" s="1" customFormat="1">
      <c r="A1304" s="28"/>
      <c r="B1304" s="32" t="s">
        <v>26</v>
      </c>
      <c r="C1304" s="24">
        <f t="shared" si="516"/>
        <v>0</v>
      </c>
      <c r="D1304" s="30"/>
      <c r="E1304" s="30"/>
      <c r="F1304" s="30"/>
      <c r="G1304" s="30"/>
      <c r="H1304" s="31"/>
      <c r="I1304" s="31"/>
      <c r="J1304" s="31"/>
      <c r="K1304" s="31"/>
      <c r="L1304" s="24">
        <f t="shared" si="517"/>
        <v>0</v>
      </c>
      <c r="M1304" s="30"/>
      <c r="N1304" s="30"/>
      <c r="O1304" s="30"/>
      <c r="P1304" s="30"/>
    </row>
    <row r="1305" spans="1:16" s="1" customFormat="1" ht="30">
      <c r="A1305" s="28"/>
      <c r="B1305" s="35" t="s">
        <v>27</v>
      </c>
      <c r="C1305" s="36">
        <f t="shared" ref="C1305:G1305" si="518">SUM(C1306:C1309)</f>
        <v>0</v>
      </c>
      <c r="D1305" s="36">
        <f t="shared" si="518"/>
        <v>347673.79000000004</v>
      </c>
      <c r="E1305" s="36">
        <f t="shared" si="518"/>
        <v>0</v>
      </c>
      <c r="F1305" s="36">
        <f t="shared" si="518"/>
        <v>0</v>
      </c>
      <c r="G1305" s="36">
        <f t="shared" si="518"/>
        <v>0</v>
      </c>
      <c r="H1305" s="31"/>
      <c r="I1305" s="31"/>
      <c r="J1305" s="31"/>
      <c r="K1305" s="31"/>
      <c r="L1305" s="36">
        <f t="shared" ref="L1305:P1305" si="519">SUM(L1306:L1309)</f>
        <v>0</v>
      </c>
      <c r="M1305" s="36">
        <f t="shared" si="519"/>
        <v>347673.79000000004</v>
      </c>
      <c r="N1305" s="36">
        <f t="shared" si="519"/>
        <v>0</v>
      </c>
      <c r="O1305" s="36">
        <f t="shared" si="519"/>
        <v>0</v>
      </c>
      <c r="P1305" s="36">
        <f t="shared" si="519"/>
        <v>0</v>
      </c>
    </row>
    <row r="1306" spans="1:16" s="1" customFormat="1">
      <c r="A1306" s="28"/>
      <c r="B1306" s="38" t="s">
        <v>28</v>
      </c>
      <c r="C1306" s="24">
        <f t="shared" ref="C1306:C1316" si="520">E1306+F1306+G1306</f>
        <v>0</v>
      </c>
      <c r="D1306" s="30">
        <v>233685.4</v>
      </c>
      <c r="E1306" s="30"/>
      <c r="F1306" s="30"/>
      <c r="G1306" s="30"/>
      <c r="H1306" s="31"/>
      <c r="I1306" s="31"/>
      <c r="J1306" s="31"/>
      <c r="K1306" s="31"/>
      <c r="L1306" s="24">
        <f t="shared" ref="L1306:L1316" si="521">N1306+O1306+P1306</f>
        <v>0</v>
      </c>
      <c r="M1306" s="30">
        <v>233685.4</v>
      </c>
      <c r="N1306" s="30"/>
      <c r="O1306" s="30"/>
      <c r="P1306" s="30"/>
    </row>
    <row r="1307" spans="1:16" s="1" customFormat="1">
      <c r="A1307" s="28"/>
      <c r="B1307" s="38" t="s">
        <v>29</v>
      </c>
      <c r="C1307" s="24">
        <f t="shared" si="520"/>
        <v>0</v>
      </c>
      <c r="D1307" s="30">
        <v>62597.62</v>
      </c>
      <c r="E1307" s="30"/>
      <c r="F1307" s="30"/>
      <c r="G1307" s="30"/>
      <c r="H1307" s="31"/>
      <c r="I1307" s="31"/>
      <c r="J1307" s="31"/>
      <c r="K1307" s="31"/>
      <c r="L1307" s="24">
        <f t="shared" si="521"/>
        <v>0</v>
      </c>
      <c r="M1307" s="30">
        <v>62597.62</v>
      </c>
      <c r="N1307" s="30"/>
      <c r="O1307" s="30"/>
      <c r="P1307" s="30"/>
    </row>
    <row r="1308" spans="1:16" s="1" customFormat="1">
      <c r="A1308" s="28"/>
      <c r="B1308" s="38" t="s">
        <v>30</v>
      </c>
      <c r="C1308" s="24">
        <f t="shared" si="520"/>
        <v>0</v>
      </c>
      <c r="D1308" s="30"/>
      <c r="E1308" s="30"/>
      <c r="F1308" s="30"/>
      <c r="G1308" s="30"/>
      <c r="H1308" s="31"/>
      <c r="I1308" s="31"/>
      <c r="J1308" s="31"/>
      <c r="K1308" s="31"/>
      <c r="L1308" s="24">
        <f t="shared" si="521"/>
        <v>0</v>
      </c>
      <c r="M1308" s="30"/>
      <c r="N1308" s="30"/>
      <c r="O1308" s="30"/>
      <c r="P1308" s="30"/>
    </row>
    <row r="1309" spans="1:16" s="1" customFormat="1">
      <c r="A1309" s="28"/>
      <c r="B1309" s="38" t="s">
        <v>31</v>
      </c>
      <c r="C1309" s="24">
        <f t="shared" si="520"/>
        <v>0</v>
      </c>
      <c r="D1309" s="30">
        <v>51390.77</v>
      </c>
      <c r="E1309" s="30"/>
      <c r="F1309" s="30"/>
      <c r="G1309" s="30"/>
      <c r="H1309" s="31"/>
      <c r="I1309" s="31"/>
      <c r="J1309" s="31"/>
      <c r="K1309" s="31"/>
      <c r="L1309" s="24">
        <f t="shared" si="521"/>
        <v>0</v>
      </c>
      <c r="M1309" s="30">
        <v>51390.77</v>
      </c>
      <c r="N1309" s="30"/>
      <c r="O1309" s="30"/>
      <c r="P1309" s="30"/>
    </row>
    <row r="1310" spans="1:16" s="1" customFormat="1" ht="30">
      <c r="A1310" s="28"/>
      <c r="B1310" s="39" t="s">
        <v>32</v>
      </c>
      <c r="C1310" s="24">
        <f t="shared" si="520"/>
        <v>0</v>
      </c>
      <c r="D1310" s="30"/>
      <c r="E1310" s="30"/>
      <c r="F1310" s="30"/>
      <c r="G1310" s="30"/>
      <c r="H1310" s="31"/>
      <c r="I1310" s="31"/>
      <c r="J1310" s="31"/>
      <c r="K1310" s="31"/>
      <c r="L1310" s="24">
        <f t="shared" si="521"/>
        <v>0</v>
      </c>
      <c r="M1310" s="30"/>
      <c r="N1310" s="30"/>
      <c r="O1310" s="30"/>
      <c r="P1310" s="30"/>
    </row>
    <row r="1311" spans="1:16" s="1" customFormat="1" ht="30">
      <c r="A1311" s="28"/>
      <c r="B1311" s="39" t="s">
        <v>33</v>
      </c>
      <c r="C1311" s="24">
        <f t="shared" si="520"/>
        <v>0</v>
      </c>
      <c r="D1311" s="30">
        <f>7100</f>
        <v>7100</v>
      </c>
      <c r="E1311" s="30"/>
      <c r="F1311" s="30"/>
      <c r="G1311" s="30"/>
      <c r="H1311" s="31"/>
      <c r="I1311" s="31"/>
      <c r="J1311" s="31"/>
      <c r="K1311" s="31"/>
      <c r="L1311" s="24">
        <f t="shared" si="521"/>
        <v>0</v>
      </c>
      <c r="M1311" s="30">
        <f>7100</f>
        <v>7100</v>
      </c>
      <c r="N1311" s="30"/>
      <c r="O1311" s="30"/>
      <c r="P1311" s="30"/>
    </row>
    <row r="1312" spans="1:16" s="1" customFormat="1" ht="30">
      <c r="A1312" s="28"/>
      <c r="B1312" s="40" t="s">
        <v>34</v>
      </c>
      <c r="C1312" s="24">
        <f t="shared" si="520"/>
        <v>0</v>
      </c>
      <c r="D1312" s="30"/>
      <c r="E1312" s="30"/>
      <c r="F1312" s="30"/>
      <c r="G1312" s="30"/>
      <c r="H1312" s="31"/>
      <c r="I1312" s="31"/>
      <c r="J1312" s="31"/>
      <c r="K1312" s="31"/>
      <c r="L1312" s="24">
        <f t="shared" si="521"/>
        <v>0</v>
      </c>
      <c r="M1312" s="30"/>
      <c r="N1312" s="30"/>
      <c r="O1312" s="30"/>
      <c r="P1312" s="30"/>
    </row>
    <row r="1313" spans="1:16" s="1" customFormat="1">
      <c r="A1313" s="28"/>
      <c r="B1313" s="40" t="s">
        <v>35</v>
      </c>
      <c r="C1313" s="24">
        <f t="shared" si="520"/>
        <v>0</v>
      </c>
      <c r="D1313" s="30"/>
      <c r="E1313" s="30"/>
      <c r="F1313" s="30"/>
      <c r="G1313" s="30"/>
      <c r="H1313" s="31"/>
      <c r="I1313" s="31"/>
      <c r="J1313" s="31"/>
      <c r="K1313" s="31"/>
      <c r="L1313" s="24">
        <f t="shared" si="521"/>
        <v>0</v>
      </c>
      <c r="M1313" s="30"/>
      <c r="N1313" s="30"/>
      <c r="O1313" s="30"/>
      <c r="P1313" s="30"/>
    </row>
    <row r="1314" spans="1:16" s="1" customFormat="1" ht="30">
      <c r="A1314" s="28"/>
      <c r="B1314" s="41" t="s">
        <v>36</v>
      </c>
      <c r="C1314" s="24">
        <f t="shared" si="520"/>
        <v>0</v>
      </c>
      <c r="D1314" s="30"/>
      <c r="E1314" s="30"/>
      <c r="F1314" s="30"/>
      <c r="G1314" s="30"/>
      <c r="H1314" s="31"/>
      <c r="I1314" s="31"/>
      <c r="J1314" s="31"/>
      <c r="K1314" s="31"/>
      <c r="L1314" s="24">
        <f t="shared" si="521"/>
        <v>0</v>
      </c>
      <c r="M1314" s="30"/>
      <c r="N1314" s="30"/>
      <c r="O1314" s="30"/>
      <c r="P1314" s="30"/>
    </row>
    <row r="1315" spans="1:16" s="1" customFormat="1">
      <c r="A1315" s="28"/>
      <c r="B1315" s="42" t="s">
        <v>37</v>
      </c>
      <c r="C1315" s="24">
        <f t="shared" si="520"/>
        <v>0</v>
      </c>
      <c r="D1315" s="30"/>
      <c r="E1315" s="30"/>
      <c r="F1315" s="30"/>
      <c r="G1315" s="30"/>
      <c r="H1315" s="31"/>
      <c r="I1315" s="31"/>
      <c r="J1315" s="31"/>
      <c r="K1315" s="31"/>
      <c r="L1315" s="24">
        <f t="shared" si="521"/>
        <v>0</v>
      </c>
      <c r="M1315" s="30"/>
      <c r="N1315" s="30"/>
      <c r="O1315" s="30"/>
      <c r="P1315" s="30"/>
    </row>
    <row r="1316" spans="1:16" s="1" customFormat="1" ht="30">
      <c r="A1316" s="28"/>
      <c r="B1316" s="42" t="s">
        <v>38</v>
      </c>
      <c r="C1316" s="24">
        <f t="shared" si="520"/>
        <v>0</v>
      </c>
      <c r="D1316" s="30">
        <f>341120+101505+131375</f>
        <v>574000</v>
      </c>
      <c r="E1316" s="30"/>
      <c r="F1316" s="30"/>
      <c r="G1316" s="30"/>
      <c r="H1316" s="31"/>
      <c r="I1316" s="31"/>
      <c r="J1316" s="31"/>
      <c r="K1316" s="31"/>
      <c r="L1316" s="24">
        <f t="shared" si="521"/>
        <v>0</v>
      </c>
      <c r="M1316" s="30">
        <f>341120+101505+131375</f>
        <v>574000</v>
      </c>
      <c r="N1316" s="30"/>
      <c r="O1316" s="30"/>
      <c r="P1316" s="30"/>
    </row>
    <row r="1317" spans="1:16" s="1" customFormat="1" ht="30">
      <c r="A1317" s="28"/>
      <c r="B1317" s="43" t="s">
        <v>39</v>
      </c>
      <c r="C1317" s="36">
        <f t="shared" ref="C1317:G1317" si="522">SUM(C1318:C1324)</f>
        <v>0</v>
      </c>
      <c r="D1317" s="36">
        <f t="shared" si="522"/>
        <v>64991.31</v>
      </c>
      <c r="E1317" s="36">
        <f t="shared" si="522"/>
        <v>0</v>
      </c>
      <c r="F1317" s="36">
        <f t="shared" si="522"/>
        <v>0</v>
      </c>
      <c r="G1317" s="36">
        <f t="shared" si="522"/>
        <v>0</v>
      </c>
      <c r="H1317" s="31"/>
      <c r="I1317" s="31"/>
      <c r="J1317" s="31"/>
      <c r="K1317" s="31"/>
      <c r="L1317" s="36">
        <f t="shared" ref="L1317:P1317" si="523">SUM(L1318:L1324)</f>
        <v>0</v>
      </c>
      <c r="M1317" s="36">
        <f t="shared" si="523"/>
        <v>64991.31</v>
      </c>
      <c r="N1317" s="36">
        <f t="shared" si="523"/>
        <v>0</v>
      </c>
      <c r="O1317" s="36">
        <f t="shared" si="523"/>
        <v>0</v>
      </c>
      <c r="P1317" s="36">
        <f t="shared" si="523"/>
        <v>0</v>
      </c>
    </row>
    <row r="1318" spans="1:16" s="1" customFormat="1" ht="30">
      <c r="A1318" s="28" t="s">
        <v>40</v>
      </c>
      <c r="B1318" s="39" t="s">
        <v>41</v>
      </c>
      <c r="C1318" s="24">
        <f t="shared" ref="C1318:C1324" si="524">E1318+F1318+G1318</f>
        <v>0</v>
      </c>
      <c r="D1318" s="30"/>
      <c r="E1318" s="30"/>
      <c r="F1318" s="30"/>
      <c r="G1318" s="30"/>
      <c r="H1318" s="31"/>
      <c r="I1318" s="31"/>
      <c r="J1318" s="31"/>
      <c r="K1318" s="31"/>
      <c r="L1318" s="24">
        <f t="shared" ref="L1318:L1324" si="525">N1318+O1318+P1318</f>
        <v>0</v>
      </c>
      <c r="M1318" s="30"/>
      <c r="N1318" s="30"/>
      <c r="O1318" s="30"/>
      <c r="P1318" s="30"/>
    </row>
    <row r="1319" spans="1:16" s="1" customFormat="1">
      <c r="A1319" s="28"/>
      <c r="B1319" s="39" t="s">
        <v>42</v>
      </c>
      <c r="C1319" s="24">
        <f t="shared" si="524"/>
        <v>0</v>
      </c>
      <c r="D1319" s="30"/>
      <c r="E1319" s="30"/>
      <c r="F1319" s="30"/>
      <c r="G1319" s="30"/>
      <c r="H1319" s="31"/>
      <c r="I1319" s="31"/>
      <c r="J1319" s="31"/>
      <c r="K1319" s="31"/>
      <c r="L1319" s="24">
        <f t="shared" si="525"/>
        <v>0</v>
      </c>
      <c r="M1319" s="30"/>
      <c r="N1319" s="30"/>
      <c r="O1319" s="30"/>
      <c r="P1319" s="30"/>
    </row>
    <row r="1320" spans="1:16" s="1" customFormat="1">
      <c r="A1320" s="28"/>
      <c r="B1320" s="39" t="s">
        <v>43</v>
      </c>
      <c r="C1320" s="24">
        <f t="shared" si="524"/>
        <v>0</v>
      </c>
      <c r="D1320" s="30"/>
      <c r="E1320" s="30"/>
      <c r="F1320" s="30"/>
      <c r="G1320" s="30"/>
      <c r="H1320" s="31"/>
      <c r="I1320" s="31"/>
      <c r="J1320" s="31"/>
      <c r="K1320" s="31"/>
      <c r="L1320" s="24">
        <f t="shared" si="525"/>
        <v>0</v>
      </c>
      <c r="M1320" s="30"/>
      <c r="N1320" s="30"/>
      <c r="O1320" s="30"/>
      <c r="P1320" s="30"/>
    </row>
    <row r="1321" spans="1:16" s="1" customFormat="1">
      <c r="A1321" s="28"/>
      <c r="B1321" s="39" t="s">
        <v>44</v>
      </c>
      <c r="C1321" s="24">
        <f t="shared" si="524"/>
        <v>0</v>
      </c>
      <c r="D1321" s="30"/>
      <c r="E1321" s="30"/>
      <c r="F1321" s="30"/>
      <c r="G1321" s="30"/>
      <c r="H1321" s="31"/>
      <c r="I1321" s="31"/>
      <c r="J1321" s="31"/>
      <c r="K1321" s="31"/>
      <c r="L1321" s="24">
        <f t="shared" si="525"/>
        <v>0</v>
      </c>
      <c r="M1321" s="30"/>
      <c r="N1321" s="30"/>
      <c r="O1321" s="30"/>
      <c r="P1321" s="30"/>
    </row>
    <row r="1322" spans="1:16" s="1" customFormat="1">
      <c r="A1322" s="28"/>
      <c r="B1322" s="39" t="s">
        <v>45</v>
      </c>
      <c r="C1322" s="24">
        <f t="shared" si="524"/>
        <v>0</v>
      </c>
      <c r="D1322" s="30"/>
      <c r="E1322" s="30"/>
      <c r="F1322" s="30"/>
      <c r="G1322" s="30"/>
      <c r="H1322" s="31"/>
      <c r="I1322" s="31"/>
      <c r="J1322" s="31"/>
      <c r="K1322" s="31"/>
      <c r="L1322" s="24">
        <f t="shared" si="525"/>
        <v>0</v>
      </c>
      <c r="M1322" s="30"/>
      <c r="N1322" s="30"/>
      <c r="O1322" s="30"/>
      <c r="P1322" s="30"/>
    </row>
    <row r="1323" spans="1:16" s="1" customFormat="1" ht="30">
      <c r="A1323" s="28"/>
      <c r="B1323" s="39" t="s">
        <v>46</v>
      </c>
      <c r="C1323" s="24">
        <f t="shared" si="524"/>
        <v>0</v>
      </c>
      <c r="D1323" s="30"/>
      <c r="E1323" s="30"/>
      <c r="F1323" s="30"/>
      <c r="G1323" s="30"/>
      <c r="H1323" s="31"/>
      <c r="I1323" s="31"/>
      <c r="J1323" s="31"/>
      <c r="K1323" s="31"/>
      <c r="L1323" s="24">
        <f t="shared" si="525"/>
        <v>0</v>
      </c>
      <c r="M1323" s="30"/>
      <c r="N1323" s="30"/>
      <c r="O1323" s="30"/>
      <c r="P1323" s="30"/>
    </row>
    <row r="1324" spans="1:16" s="1" customFormat="1">
      <c r="A1324" s="28"/>
      <c r="B1324" s="39" t="s">
        <v>47</v>
      </c>
      <c r="C1324" s="24">
        <f t="shared" si="524"/>
        <v>0</v>
      </c>
      <c r="D1324" s="30">
        <f>10000+9440+18455.85+27096-0.54</f>
        <v>64991.31</v>
      </c>
      <c r="E1324" s="30"/>
      <c r="F1324" s="30"/>
      <c r="G1324" s="30"/>
      <c r="H1324" s="31"/>
      <c r="I1324" s="31"/>
      <c r="J1324" s="31"/>
      <c r="K1324" s="31"/>
      <c r="L1324" s="24">
        <f t="shared" si="525"/>
        <v>0</v>
      </c>
      <c r="M1324" s="30">
        <f>10000+9440+18455.85+27096-0.54</f>
        <v>64991.31</v>
      </c>
      <c r="N1324" s="30"/>
      <c r="O1324" s="30"/>
      <c r="P1324" s="30"/>
    </row>
    <row r="1325" spans="1:16" s="1" customFormat="1" ht="36.75" customHeight="1">
      <c r="A1325" s="211" t="s">
        <v>3</v>
      </c>
      <c r="B1325" s="213" t="s">
        <v>4</v>
      </c>
      <c r="C1325" s="213" t="s">
        <v>5</v>
      </c>
      <c r="D1325" s="10" t="s">
        <v>6</v>
      </c>
      <c r="E1325" s="215" t="s">
        <v>7</v>
      </c>
      <c r="F1325" s="216"/>
      <c r="G1325" s="217"/>
      <c r="H1325" s="218" t="s">
        <v>8</v>
      </c>
      <c r="I1325" s="218"/>
      <c r="J1325" s="218"/>
      <c r="K1325" s="11"/>
      <c r="L1325" s="219" t="s">
        <v>9</v>
      </c>
      <c r="M1325" s="12" t="s">
        <v>6</v>
      </c>
      <c r="N1325" s="208" t="s">
        <v>10</v>
      </c>
      <c r="O1325" s="209"/>
      <c r="P1325" s="210"/>
    </row>
    <row r="1326" spans="1:16" s="1" customFormat="1" ht="47.25" customHeight="1">
      <c r="A1326" s="212"/>
      <c r="B1326" s="214"/>
      <c r="C1326" s="214"/>
      <c r="D1326" s="13" t="s">
        <v>11</v>
      </c>
      <c r="E1326" s="13" t="s">
        <v>12</v>
      </c>
      <c r="F1326" s="13" t="s">
        <v>13</v>
      </c>
      <c r="G1326" s="13" t="s">
        <v>14</v>
      </c>
      <c r="H1326" s="14" t="s">
        <v>15</v>
      </c>
      <c r="I1326" s="14" t="s">
        <v>16</v>
      </c>
      <c r="J1326" s="14" t="s">
        <v>17</v>
      </c>
      <c r="K1326" s="14" t="s">
        <v>18</v>
      </c>
      <c r="L1326" s="220"/>
      <c r="M1326" s="15" t="s">
        <v>11</v>
      </c>
      <c r="N1326" s="15" t="s">
        <v>12</v>
      </c>
      <c r="O1326" s="15" t="s">
        <v>13</v>
      </c>
      <c r="P1326" s="15" t="s">
        <v>14</v>
      </c>
    </row>
    <row r="1327" spans="1:16" s="1" customFormat="1">
      <c r="A1327" s="80">
        <v>23</v>
      </c>
      <c r="B1327" s="17" t="s">
        <v>92</v>
      </c>
      <c r="C1327" s="81">
        <f t="shared" ref="C1327:G1327" si="526">C1328+C1329+C1330+C1331+C1332+C1333+C1334+C1335+C1340+C1341+C1342+C1343+C1344+C1345+C1346+C1347</f>
        <v>236660.38</v>
      </c>
      <c r="D1327" s="81">
        <f t="shared" si="526"/>
        <v>1111524.8599999999</v>
      </c>
      <c r="E1327" s="81">
        <f t="shared" si="526"/>
        <v>47860.380000000005</v>
      </c>
      <c r="F1327" s="81">
        <f t="shared" si="526"/>
        <v>0</v>
      </c>
      <c r="G1327" s="81">
        <f t="shared" si="526"/>
        <v>188800</v>
      </c>
      <c r="H1327" s="93"/>
      <c r="I1327" s="94"/>
      <c r="J1327" s="94"/>
      <c r="K1327" s="84"/>
      <c r="L1327" s="81">
        <f t="shared" ref="L1327:P1327" si="527">L1328+L1329+L1330+L1331+L1332+L1333+L1334+L1335+L1340+L1341+L1342+L1343+L1344+L1345+L1346+L1347</f>
        <v>0</v>
      </c>
      <c r="M1327" s="81">
        <f t="shared" si="527"/>
        <v>1111524.8599999999</v>
      </c>
      <c r="N1327" s="81">
        <f t="shared" si="527"/>
        <v>0</v>
      </c>
      <c r="O1327" s="81">
        <f t="shared" si="527"/>
        <v>0</v>
      </c>
      <c r="P1327" s="81">
        <f t="shared" si="527"/>
        <v>0</v>
      </c>
    </row>
    <row r="1328" spans="1:16" s="1" customFormat="1">
      <c r="A1328" s="22"/>
      <c r="B1328" s="23" t="s">
        <v>20</v>
      </c>
      <c r="C1328" s="24">
        <f t="shared" ref="C1328:C1334" si="528">E1328+F1328+G1328</f>
        <v>188800</v>
      </c>
      <c r="D1328" s="25"/>
      <c r="E1328" s="25"/>
      <c r="F1328" s="25"/>
      <c r="G1328" s="25">
        <v>188800</v>
      </c>
      <c r="H1328" s="60"/>
      <c r="I1328" s="61"/>
      <c r="J1328" s="61"/>
      <c r="K1328" s="27"/>
      <c r="L1328" s="24">
        <f t="shared" ref="L1328:L1334" si="529">N1328+O1328+P1328</f>
        <v>0</v>
      </c>
      <c r="M1328" s="25"/>
      <c r="N1328" s="25"/>
      <c r="O1328" s="25"/>
      <c r="P1328" s="25"/>
    </row>
    <row r="1329" spans="1:16" s="1" customFormat="1">
      <c r="A1329" s="28"/>
      <c r="B1329" s="29" t="s">
        <v>21</v>
      </c>
      <c r="C1329" s="24">
        <f t="shared" si="528"/>
        <v>0</v>
      </c>
      <c r="D1329" s="30"/>
      <c r="E1329" s="30"/>
      <c r="F1329" s="30"/>
      <c r="G1329" s="30"/>
      <c r="H1329" s="31"/>
      <c r="I1329" s="31"/>
      <c r="J1329" s="31"/>
      <c r="K1329" s="31"/>
      <c r="L1329" s="24">
        <f t="shared" si="529"/>
        <v>0</v>
      </c>
      <c r="M1329" s="30"/>
      <c r="N1329" s="30"/>
      <c r="O1329" s="30"/>
      <c r="P1329" s="30"/>
    </row>
    <row r="1330" spans="1:16" s="1" customFormat="1">
      <c r="A1330" s="28"/>
      <c r="B1330" s="32" t="s">
        <v>22</v>
      </c>
      <c r="C1330" s="24">
        <f t="shared" si="528"/>
        <v>0</v>
      </c>
      <c r="D1330" s="30"/>
      <c r="E1330" s="30"/>
      <c r="F1330" s="30"/>
      <c r="G1330" s="30"/>
      <c r="H1330" s="31"/>
      <c r="I1330" s="31"/>
      <c r="J1330" s="31"/>
      <c r="K1330" s="31"/>
      <c r="L1330" s="24">
        <f t="shared" si="529"/>
        <v>0</v>
      </c>
      <c r="M1330" s="30"/>
      <c r="N1330" s="30"/>
      <c r="O1330" s="30"/>
      <c r="P1330" s="30"/>
    </row>
    <row r="1331" spans="1:16" s="1" customFormat="1">
      <c r="A1331" s="28"/>
      <c r="B1331" s="32" t="s">
        <v>23</v>
      </c>
      <c r="C1331" s="24">
        <f t="shared" si="528"/>
        <v>35985.19</v>
      </c>
      <c r="D1331" s="30"/>
      <c r="E1331" s="30">
        <v>35985.19</v>
      </c>
      <c r="F1331" s="30"/>
      <c r="G1331" s="30"/>
      <c r="H1331" s="31"/>
      <c r="I1331" s="31"/>
      <c r="J1331" s="31"/>
      <c r="K1331" s="31"/>
      <c r="L1331" s="24">
        <f t="shared" si="529"/>
        <v>0</v>
      </c>
      <c r="M1331" s="30"/>
      <c r="N1331" s="30"/>
      <c r="O1331" s="30"/>
      <c r="P1331" s="30"/>
    </row>
    <row r="1332" spans="1:16" s="1" customFormat="1">
      <c r="A1332" s="28"/>
      <c r="B1332" s="29" t="s">
        <v>24</v>
      </c>
      <c r="C1332" s="24">
        <f t="shared" si="528"/>
        <v>0</v>
      </c>
      <c r="D1332" s="30">
        <f>0.96+63015.06+0.41</f>
        <v>63016.43</v>
      </c>
      <c r="E1332" s="30"/>
      <c r="F1332" s="30"/>
      <c r="G1332" s="30"/>
      <c r="H1332" s="31"/>
      <c r="I1332" s="31"/>
      <c r="J1332" s="31"/>
      <c r="K1332" s="31"/>
      <c r="L1332" s="24">
        <f t="shared" si="529"/>
        <v>0</v>
      </c>
      <c r="M1332" s="30">
        <f>0.96+63015.06+0.41</f>
        <v>63016.43</v>
      </c>
      <c r="N1332" s="30"/>
      <c r="O1332" s="30"/>
      <c r="P1332" s="30"/>
    </row>
    <row r="1333" spans="1:16" s="1" customFormat="1">
      <c r="A1333" s="28"/>
      <c r="B1333" s="34" t="s">
        <v>25</v>
      </c>
      <c r="C1333" s="24">
        <f t="shared" si="528"/>
        <v>5203.21</v>
      </c>
      <c r="D1333" s="30">
        <v>159.38</v>
      </c>
      <c r="E1333" s="30">
        <v>5203.21</v>
      </c>
      <c r="F1333" s="30"/>
      <c r="G1333" s="30"/>
      <c r="H1333" s="31"/>
      <c r="I1333" s="31"/>
      <c r="J1333" s="31"/>
      <c r="K1333" s="31"/>
      <c r="L1333" s="24">
        <f t="shared" si="529"/>
        <v>0</v>
      </c>
      <c r="M1333" s="30">
        <v>159.38</v>
      </c>
      <c r="N1333" s="30"/>
      <c r="O1333" s="30"/>
      <c r="P1333" s="30"/>
    </row>
    <row r="1334" spans="1:16" s="1" customFormat="1">
      <c r="A1334" s="28"/>
      <c r="B1334" s="32" t="s">
        <v>26</v>
      </c>
      <c r="C1334" s="24">
        <f t="shared" si="528"/>
        <v>0</v>
      </c>
      <c r="D1334" s="30"/>
      <c r="E1334" s="30"/>
      <c r="F1334" s="30"/>
      <c r="G1334" s="30"/>
      <c r="H1334" s="31"/>
      <c r="I1334" s="31"/>
      <c r="J1334" s="31"/>
      <c r="K1334" s="31"/>
      <c r="L1334" s="24">
        <f t="shared" si="529"/>
        <v>0</v>
      </c>
      <c r="M1334" s="30"/>
      <c r="N1334" s="30"/>
      <c r="O1334" s="30"/>
      <c r="P1334" s="30"/>
    </row>
    <row r="1335" spans="1:16" s="1" customFormat="1" ht="30">
      <c r="A1335" s="28"/>
      <c r="B1335" s="35" t="s">
        <v>27</v>
      </c>
      <c r="C1335" s="36">
        <f t="shared" ref="C1335:G1335" si="530">SUM(C1336:C1339)</f>
        <v>6671.98</v>
      </c>
      <c r="D1335" s="36">
        <f t="shared" si="530"/>
        <v>304573.88</v>
      </c>
      <c r="E1335" s="36">
        <f t="shared" si="530"/>
        <v>6671.98</v>
      </c>
      <c r="F1335" s="36">
        <f t="shared" si="530"/>
        <v>0</v>
      </c>
      <c r="G1335" s="36">
        <f t="shared" si="530"/>
        <v>0</v>
      </c>
      <c r="H1335" s="31"/>
      <c r="I1335" s="31"/>
      <c r="J1335" s="31"/>
      <c r="K1335" s="31"/>
      <c r="L1335" s="36">
        <f t="shared" ref="L1335:P1335" si="531">SUM(L1336:L1339)</f>
        <v>0</v>
      </c>
      <c r="M1335" s="36">
        <f t="shared" si="531"/>
        <v>304573.88</v>
      </c>
      <c r="N1335" s="36">
        <f t="shared" si="531"/>
        <v>0</v>
      </c>
      <c r="O1335" s="36">
        <f t="shared" si="531"/>
        <v>0</v>
      </c>
      <c r="P1335" s="36">
        <f t="shared" si="531"/>
        <v>0</v>
      </c>
    </row>
    <row r="1336" spans="1:16" s="1" customFormat="1">
      <c r="A1336" s="28"/>
      <c r="B1336" s="38" t="s">
        <v>28</v>
      </c>
      <c r="C1336" s="24">
        <f t="shared" ref="C1336:C1346" si="532">E1336+F1336+G1336</f>
        <v>0</v>
      </c>
      <c r="D1336" s="30">
        <v>114386.29</v>
      </c>
      <c r="E1336" s="30"/>
      <c r="F1336" s="30"/>
      <c r="G1336" s="30"/>
      <c r="H1336" s="31"/>
      <c r="I1336" s="31"/>
      <c r="J1336" s="31"/>
      <c r="K1336" s="31"/>
      <c r="L1336" s="24">
        <f t="shared" ref="L1336:L1346" si="533">N1336+O1336+P1336</f>
        <v>0</v>
      </c>
      <c r="M1336" s="30">
        <v>114386.29</v>
      </c>
      <c r="N1336" s="30"/>
      <c r="O1336" s="30"/>
      <c r="P1336" s="30"/>
    </row>
    <row r="1337" spans="1:16" s="1" customFormat="1">
      <c r="A1337" s="28"/>
      <c r="B1337" s="38" t="s">
        <v>29</v>
      </c>
      <c r="C1337" s="24">
        <f t="shared" si="532"/>
        <v>6671.98</v>
      </c>
      <c r="D1337" s="30"/>
      <c r="E1337" s="30">
        <v>6671.98</v>
      </c>
      <c r="F1337" s="30"/>
      <c r="G1337" s="30"/>
      <c r="H1337" s="31"/>
      <c r="I1337" s="31"/>
      <c r="J1337" s="31"/>
      <c r="K1337" s="31"/>
      <c r="L1337" s="24">
        <f t="shared" si="533"/>
        <v>0</v>
      </c>
      <c r="M1337" s="30"/>
      <c r="N1337" s="30"/>
      <c r="O1337" s="30"/>
      <c r="P1337" s="30"/>
    </row>
    <row r="1338" spans="1:16" s="1" customFormat="1">
      <c r="A1338" s="28"/>
      <c r="B1338" s="38" t="s">
        <v>30</v>
      </c>
      <c r="C1338" s="24">
        <f t="shared" si="532"/>
        <v>0</v>
      </c>
      <c r="D1338" s="30">
        <f>51912.83+78399.05+59875.71</f>
        <v>190187.59</v>
      </c>
      <c r="E1338" s="30"/>
      <c r="F1338" s="30"/>
      <c r="G1338" s="30"/>
      <c r="H1338" s="31"/>
      <c r="I1338" s="31"/>
      <c r="J1338" s="31"/>
      <c r="K1338" s="31"/>
      <c r="L1338" s="24">
        <f t="shared" si="533"/>
        <v>0</v>
      </c>
      <c r="M1338" s="30">
        <f>51912.83+78399.05+59875.71</f>
        <v>190187.59</v>
      </c>
      <c r="N1338" s="30"/>
      <c r="O1338" s="30"/>
      <c r="P1338" s="30"/>
    </row>
    <row r="1339" spans="1:16" s="1" customFormat="1">
      <c r="A1339" s="28"/>
      <c r="B1339" s="38" t="s">
        <v>31</v>
      </c>
      <c r="C1339" s="24">
        <f t="shared" si="532"/>
        <v>0</v>
      </c>
      <c r="D1339" s="30"/>
      <c r="E1339" s="30"/>
      <c r="F1339" s="30"/>
      <c r="G1339" s="30"/>
      <c r="H1339" s="31"/>
      <c r="I1339" s="31"/>
      <c r="J1339" s="31"/>
      <c r="K1339" s="31"/>
      <c r="L1339" s="24">
        <f t="shared" si="533"/>
        <v>0</v>
      </c>
      <c r="M1339" s="30"/>
      <c r="N1339" s="30"/>
      <c r="O1339" s="30"/>
      <c r="P1339" s="30"/>
    </row>
    <row r="1340" spans="1:16" s="1" customFormat="1" ht="30">
      <c r="A1340" s="28"/>
      <c r="B1340" s="39" t="s">
        <v>32</v>
      </c>
      <c r="C1340" s="24">
        <f t="shared" si="532"/>
        <v>0</v>
      </c>
      <c r="D1340" s="30">
        <v>42153</v>
      </c>
      <c r="E1340" s="30"/>
      <c r="F1340" s="30"/>
      <c r="G1340" s="30"/>
      <c r="H1340" s="31"/>
      <c r="I1340" s="31"/>
      <c r="J1340" s="31"/>
      <c r="K1340" s="31"/>
      <c r="L1340" s="24">
        <f t="shared" si="533"/>
        <v>0</v>
      </c>
      <c r="M1340" s="30">
        <v>42153</v>
      </c>
      <c r="N1340" s="30"/>
      <c r="O1340" s="30"/>
      <c r="P1340" s="30"/>
    </row>
    <row r="1341" spans="1:16" s="1" customFormat="1" ht="30">
      <c r="A1341" s="28"/>
      <c r="B1341" s="39" t="s">
        <v>33</v>
      </c>
      <c r="C1341" s="24">
        <f t="shared" si="532"/>
        <v>0</v>
      </c>
      <c r="D1341" s="30">
        <f>2134.37</f>
        <v>2134.37</v>
      </c>
      <c r="E1341" s="30"/>
      <c r="F1341" s="30"/>
      <c r="G1341" s="30"/>
      <c r="H1341" s="31"/>
      <c r="I1341" s="31"/>
      <c r="J1341" s="31"/>
      <c r="K1341" s="31"/>
      <c r="L1341" s="24">
        <f t="shared" si="533"/>
        <v>0</v>
      </c>
      <c r="M1341" s="30">
        <f>2134.37</f>
        <v>2134.37</v>
      </c>
      <c r="N1341" s="30"/>
      <c r="O1341" s="30"/>
      <c r="P1341" s="30"/>
    </row>
    <row r="1342" spans="1:16" s="1" customFormat="1" ht="30">
      <c r="A1342" s="28"/>
      <c r="B1342" s="40" t="s">
        <v>34</v>
      </c>
      <c r="C1342" s="24">
        <f t="shared" si="532"/>
        <v>0</v>
      </c>
      <c r="D1342" s="30"/>
      <c r="E1342" s="30"/>
      <c r="F1342" s="30"/>
      <c r="G1342" s="30"/>
      <c r="H1342" s="31"/>
      <c r="I1342" s="31"/>
      <c r="J1342" s="31"/>
      <c r="K1342" s="31"/>
      <c r="L1342" s="24">
        <f t="shared" si="533"/>
        <v>0</v>
      </c>
      <c r="M1342" s="30"/>
      <c r="N1342" s="30"/>
      <c r="O1342" s="30"/>
      <c r="P1342" s="30"/>
    </row>
    <row r="1343" spans="1:16" s="1" customFormat="1">
      <c r="A1343" s="28"/>
      <c r="B1343" s="40" t="s">
        <v>35</v>
      </c>
      <c r="C1343" s="24">
        <f t="shared" si="532"/>
        <v>0</v>
      </c>
      <c r="D1343" s="30">
        <f>18362.76+9780+15476</f>
        <v>43618.759999999995</v>
      </c>
      <c r="E1343" s="30"/>
      <c r="F1343" s="30"/>
      <c r="G1343" s="30"/>
      <c r="H1343" s="31"/>
      <c r="I1343" s="31"/>
      <c r="J1343" s="31"/>
      <c r="K1343" s="31"/>
      <c r="L1343" s="24">
        <f t="shared" si="533"/>
        <v>0</v>
      </c>
      <c r="M1343" s="30">
        <f>18362.76+9780+15476</f>
        <v>43618.759999999995</v>
      </c>
      <c r="N1343" s="30"/>
      <c r="O1343" s="30"/>
      <c r="P1343" s="30"/>
    </row>
    <row r="1344" spans="1:16" s="1" customFormat="1" ht="30">
      <c r="A1344" s="28"/>
      <c r="B1344" s="41" t="s">
        <v>36</v>
      </c>
      <c r="C1344" s="24">
        <f t="shared" si="532"/>
        <v>0</v>
      </c>
      <c r="D1344" s="30"/>
      <c r="E1344" s="30"/>
      <c r="F1344" s="30"/>
      <c r="G1344" s="30"/>
      <c r="H1344" s="31"/>
      <c r="I1344" s="31"/>
      <c r="J1344" s="31"/>
      <c r="K1344" s="31"/>
      <c r="L1344" s="24">
        <f t="shared" si="533"/>
        <v>0</v>
      </c>
      <c r="M1344" s="30"/>
      <c r="N1344" s="30"/>
      <c r="O1344" s="30"/>
      <c r="P1344" s="30"/>
    </row>
    <row r="1345" spans="1:16" s="1" customFormat="1">
      <c r="A1345" s="28"/>
      <c r="B1345" s="42" t="s">
        <v>37</v>
      </c>
      <c r="C1345" s="24">
        <f t="shared" si="532"/>
        <v>0</v>
      </c>
      <c r="D1345" s="30">
        <v>168469.04</v>
      </c>
      <c r="E1345" s="30"/>
      <c r="F1345" s="30"/>
      <c r="G1345" s="30"/>
      <c r="H1345" s="31"/>
      <c r="I1345" s="31"/>
      <c r="J1345" s="31"/>
      <c r="K1345" s="31"/>
      <c r="L1345" s="24">
        <f t="shared" si="533"/>
        <v>0</v>
      </c>
      <c r="M1345" s="30">
        <v>168469.04</v>
      </c>
      <c r="N1345" s="30"/>
      <c r="O1345" s="30"/>
      <c r="P1345" s="30"/>
    </row>
    <row r="1346" spans="1:16" s="1" customFormat="1" ht="30">
      <c r="A1346" s="28"/>
      <c r="B1346" s="42" t="s">
        <v>38</v>
      </c>
      <c r="C1346" s="24">
        <f t="shared" si="532"/>
        <v>0</v>
      </c>
      <c r="D1346" s="30">
        <f>86725+240200+41125+119350</f>
        <v>487400</v>
      </c>
      <c r="E1346" s="30"/>
      <c r="F1346" s="30"/>
      <c r="G1346" s="30"/>
      <c r="H1346" s="31"/>
      <c r="I1346" s="31"/>
      <c r="J1346" s="31"/>
      <c r="K1346" s="31"/>
      <c r="L1346" s="24">
        <f t="shared" si="533"/>
        <v>0</v>
      </c>
      <c r="M1346" s="30">
        <f>86725+240200+41125+119350</f>
        <v>487400</v>
      </c>
      <c r="N1346" s="30"/>
      <c r="O1346" s="30"/>
      <c r="P1346" s="30"/>
    </row>
    <row r="1347" spans="1:16" s="1" customFormat="1" ht="30">
      <c r="A1347" s="28"/>
      <c r="B1347" s="43" t="s">
        <v>39</v>
      </c>
      <c r="C1347" s="36">
        <f t="shared" ref="C1347:G1347" si="534">SUM(C1348:C1354)</f>
        <v>0</v>
      </c>
      <c r="D1347" s="36">
        <f t="shared" si="534"/>
        <v>0</v>
      </c>
      <c r="E1347" s="36">
        <f t="shared" si="534"/>
        <v>0</v>
      </c>
      <c r="F1347" s="36">
        <f t="shared" si="534"/>
        <v>0</v>
      </c>
      <c r="G1347" s="36">
        <f t="shared" si="534"/>
        <v>0</v>
      </c>
      <c r="H1347" s="31"/>
      <c r="I1347" s="31"/>
      <c r="J1347" s="31"/>
      <c r="K1347" s="31"/>
      <c r="L1347" s="36">
        <f t="shared" ref="L1347:P1347" si="535">SUM(L1348:L1354)</f>
        <v>0</v>
      </c>
      <c r="M1347" s="36">
        <f t="shared" si="535"/>
        <v>0</v>
      </c>
      <c r="N1347" s="36">
        <f t="shared" si="535"/>
        <v>0</v>
      </c>
      <c r="O1347" s="36">
        <f t="shared" si="535"/>
        <v>0</v>
      </c>
      <c r="P1347" s="36">
        <f t="shared" si="535"/>
        <v>0</v>
      </c>
    </row>
    <row r="1348" spans="1:16" s="1" customFormat="1" ht="30">
      <c r="A1348" s="28" t="s">
        <v>40</v>
      </c>
      <c r="B1348" s="39" t="s">
        <v>41</v>
      </c>
      <c r="C1348" s="24">
        <f t="shared" ref="C1348:C1354" si="536">E1348+F1348+G1348</f>
        <v>0</v>
      </c>
      <c r="D1348" s="30"/>
      <c r="E1348" s="30"/>
      <c r="F1348" s="30"/>
      <c r="G1348" s="30"/>
      <c r="H1348" s="31"/>
      <c r="I1348" s="31"/>
      <c r="J1348" s="31"/>
      <c r="K1348" s="31"/>
      <c r="L1348" s="24">
        <f t="shared" ref="L1348:L1354" si="537">N1348+O1348+P1348</f>
        <v>0</v>
      </c>
      <c r="M1348" s="30"/>
      <c r="N1348" s="30"/>
      <c r="O1348" s="30"/>
      <c r="P1348" s="30"/>
    </row>
    <row r="1349" spans="1:16" s="1" customFormat="1">
      <c r="A1349" s="28"/>
      <c r="B1349" s="39" t="s">
        <v>42</v>
      </c>
      <c r="C1349" s="24">
        <f t="shared" si="536"/>
        <v>0</v>
      </c>
      <c r="D1349" s="30"/>
      <c r="E1349" s="30"/>
      <c r="F1349" s="30"/>
      <c r="G1349" s="30"/>
      <c r="H1349" s="31"/>
      <c r="I1349" s="31"/>
      <c r="J1349" s="31"/>
      <c r="K1349" s="31"/>
      <c r="L1349" s="24">
        <f t="shared" si="537"/>
        <v>0</v>
      </c>
      <c r="M1349" s="30"/>
      <c r="N1349" s="30"/>
      <c r="O1349" s="30"/>
      <c r="P1349" s="30"/>
    </row>
    <row r="1350" spans="1:16" s="1" customFormat="1">
      <c r="A1350" s="28"/>
      <c r="B1350" s="39" t="s">
        <v>43</v>
      </c>
      <c r="C1350" s="24">
        <f t="shared" si="536"/>
        <v>0</v>
      </c>
      <c r="D1350" s="30"/>
      <c r="E1350" s="30"/>
      <c r="F1350" s="30"/>
      <c r="G1350" s="30"/>
      <c r="H1350" s="31"/>
      <c r="I1350" s="31"/>
      <c r="J1350" s="31"/>
      <c r="K1350" s="31"/>
      <c r="L1350" s="24">
        <f t="shared" si="537"/>
        <v>0</v>
      </c>
      <c r="M1350" s="30"/>
      <c r="N1350" s="30"/>
      <c r="O1350" s="30"/>
      <c r="P1350" s="30"/>
    </row>
    <row r="1351" spans="1:16" s="1" customFormat="1">
      <c r="A1351" s="28"/>
      <c r="B1351" s="39" t="s">
        <v>44</v>
      </c>
      <c r="C1351" s="24">
        <f t="shared" si="536"/>
        <v>0</v>
      </c>
      <c r="D1351" s="30"/>
      <c r="E1351" s="30"/>
      <c r="F1351" s="30"/>
      <c r="G1351" s="30"/>
      <c r="H1351" s="31"/>
      <c r="I1351" s="31"/>
      <c r="J1351" s="31"/>
      <c r="K1351" s="31"/>
      <c r="L1351" s="24">
        <f t="shared" si="537"/>
        <v>0</v>
      </c>
      <c r="M1351" s="30"/>
      <c r="N1351" s="30"/>
      <c r="O1351" s="30"/>
      <c r="P1351" s="30"/>
    </row>
    <row r="1352" spans="1:16" s="1" customFormat="1">
      <c r="A1352" s="28"/>
      <c r="B1352" s="39" t="s">
        <v>45</v>
      </c>
      <c r="C1352" s="24">
        <f t="shared" si="536"/>
        <v>0</v>
      </c>
      <c r="D1352" s="30"/>
      <c r="E1352" s="30"/>
      <c r="F1352" s="30"/>
      <c r="G1352" s="30"/>
      <c r="H1352" s="31"/>
      <c r="I1352" s="31"/>
      <c r="J1352" s="31"/>
      <c r="K1352" s="31"/>
      <c r="L1352" s="24">
        <f t="shared" si="537"/>
        <v>0</v>
      </c>
      <c r="M1352" s="30"/>
      <c r="N1352" s="30"/>
      <c r="O1352" s="30"/>
      <c r="P1352" s="30"/>
    </row>
    <row r="1353" spans="1:16" s="1" customFormat="1" ht="30">
      <c r="A1353" s="28"/>
      <c r="B1353" s="39" t="s">
        <v>46</v>
      </c>
      <c r="C1353" s="24">
        <f t="shared" si="536"/>
        <v>0</v>
      </c>
      <c r="D1353" s="30"/>
      <c r="E1353" s="30"/>
      <c r="F1353" s="30"/>
      <c r="G1353" s="30"/>
      <c r="H1353" s="31"/>
      <c r="I1353" s="31"/>
      <c r="J1353" s="31"/>
      <c r="K1353" s="31"/>
      <c r="L1353" s="24">
        <f t="shared" si="537"/>
        <v>0</v>
      </c>
      <c r="M1353" s="30"/>
      <c r="N1353" s="30"/>
      <c r="O1353" s="30"/>
      <c r="P1353" s="30"/>
    </row>
    <row r="1354" spans="1:16" s="1" customFormat="1">
      <c r="A1354" s="28"/>
      <c r="B1354" s="39" t="s">
        <v>47</v>
      </c>
      <c r="C1354" s="24">
        <f t="shared" si="536"/>
        <v>0</v>
      </c>
      <c r="D1354" s="30"/>
      <c r="E1354" s="30"/>
      <c r="F1354" s="30"/>
      <c r="G1354" s="30"/>
      <c r="H1354" s="31"/>
      <c r="I1354" s="31"/>
      <c r="J1354" s="31"/>
      <c r="K1354" s="31"/>
      <c r="L1354" s="24">
        <f t="shared" si="537"/>
        <v>0</v>
      </c>
      <c r="M1354" s="30"/>
      <c r="N1354" s="30"/>
      <c r="O1354" s="30"/>
      <c r="P1354" s="30"/>
    </row>
    <row r="1355" spans="1:16" s="1" customFormat="1" ht="36.75" customHeight="1">
      <c r="A1355" s="211" t="s">
        <v>3</v>
      </c>
      <c r="B1355" s="213" t="s">
        <v>4</v>
      </c>
      <c r="C1355" s="213" t="s">
        <v>5</v>
      </c>
      <c r="D1355" s="10" t="s">
        <v>6</v>
      </c>
      <c r="E1355" s="215" t="s">
        <v>7</v>
      </c>
      <c r="F1355" s="216"/>
      <c r="G1355" s="217"/>
      <c r="H1355" s="218" t="s">
        <v>8</v>
      </c>
      <c r="I1355" s="218"/>
      <c r="J1355" s="218"/>
      <c r="K1355" s="11"/>
      <c r="L1355" s="219" t="s">
        <v>9</v>
      </c>
      <c r="M1355" s="12" t="s">
        <v>6</v>
      </c>
      <c r="N1355" s="208" t="s">
        <v>10</v>
      </c>
      <c r="O1355" s="209"/>
      <c r="P1355" s="210"/>
    </row>
    <row r="1356" spans="1:16" s="1" customFormat="1" ht="47.25" customHeight="1">
      <c r="A1356" s="212"/>
      <c r="B1356" s="214"/>
      <c r="C1356" s="214"/>
      <c r="D1356" s="13" t="s">
        <v>11</v>
      </c>
      <c r="E1356" s="13" t="s">
        <v>12</v>
      </c>
      <c r="F1356" s="13" t="s">
        <v>13</v>
      </c>
      <c r="G1356" s="13" t="s">
        <v>14</v>
      </c>
      <c r="H1356" s="14" t="s">
        <v>15</v>
      </c>
      <c r="I1356" s="14" t="s">
        <v>16</v>
      </c>
      <c r="J1356" s="14" t="s">
        <v>17</v>
      </c>
      <c r="K1356" s="14" t="s">
        <v>18</v>
      </c>
      <c r="L1356" s="220"/>
      <c r="M1356" s="15" t="s">
        <v>11</v>
      </c>
      <c r="N1356" s="15" t="s">
        <v>12</v>
      </c>
      <c r="O1356" s="15" t="s">
        <v>13</v>
      </c>
      <c r="P1356" s="15" t="s">
        <v>14</v>
      </c>
    </row>
    <row r="1357" spans="1:16" s="1" customFormat="1">
      <c r="A1357" s="90">
        <v>24</v>
      </c>
      <c r="B1357" s="17" t="s">
        <v>93</v>
      </c>
      <c r="C1357" s="92">
        <f t="shared" ref="C1357:G1357" si="538">C1358+C1359+C1360+C1361+C1362+C1363+C1364+C1365+C1370+C1371+C1372+C1373+C1374+C1375+C1376+C1377</f>
        <v>224993.78</v>
      </c>
      <c r="D1357" s="92">
        <f t="shared" si="538"/>
        <v>698417.38000000012</v>
      </c>
      <c r="E1357" s="92">
        <f t="shared" si="538"/>
        <v>3432.78</v>
      </c>
      <c r="F1357" s="92">
        <f t="shared" si="538"/>
        <v>0</v>
      </c>
      <c r="G1357" s="92">
        <f t="shared" si="538"/>
        <v>221561</v>
      </c>
      <c r="H1357" s="93"/>
      <c r="I1357" s="94"/>
      <c r="J1357" s="94"/>
      <c r="K1357" s="84"/>
      <c r="L1357" s="92">
        <f t="shared" ref="L1357:P1357" si="539">L1358+L1359+L1360+L1361+L1362+L1363+L1364+L1365+L1370+L1371+L1372+L1373+L1374+L1375+L1376+L1377</f>
        <v>0</v>
      </c>
      <c r="M1357" s="92">
        <f t="shared" si="539"/>
        <v>698417.38000000012</v>
      </c>
      <c r="N1357" s="92">
        <f t="shared" si="539"/>
        <v>0</v>
      </c>
      <c r="O1357" s="92">
        <f t="shared" si="539"/>
        <v>0</v>
      </c>
      <c r="P1357" s="92">
        <f t="shared" si="539"/>
        <v>0</v>
      </c>
    </row>
    <row r="1358" spans="1:16" s="1" customFormat="1">
      <c r="A1358" s="22"/>
      <c r="B1358" s="23" t="s">
        <v>20</v>
      </c>
      <c r="C1358" s="24">
        <f t="shared" ref="C1358:C1364" si="540">E1358+F1358+G1358</f>
        <v>221561</v>
      </c>
      <c r="D1358" s="25"/>
      <c r="E1358" s="25"/>
      <c r="F1358" s="25"/>
      <c r="G1358" s="24">
        <v>221561</v>
      </c>
      <c r="H1358" s="60"/>
      <c r="I1358" s="61"/>
      <c r="J1358" s="61"/>
      <c r="K1358" s="27"/>
      <c r="L1358" s="24">
        <f t="shared" ref="L1358:L1364" si="541">N1358+O1358+P1358</f>
        <v>0</v>
      </c>
      <c r="M1358" s="25"/>
      <c r="N1358" s="25"/>
      <c r="O1358" s="25"/>
      <c r="P1358" s="24"/>
    </row>
    <row r="1359" spans="1:16" s="1" customFormat="1">
      <c r="A1359" s="28"/>
      <c r="B1359" s="29" t="s">
        <v>21</v>
      </c>
      <c r="C1359" s="24">
        <f t="shared" si="540"/>
        <v>0</v>
      </c>
      <c r="D1359" s="30">
        <f>6923.24</f>
        <v>6923.24</v>
      </c>
      <c r="E1359" s="30"/>
      <c r="F1359" s="30"/>
      <c r="G1359" s="30"/>
      <c r="H1359" s="31"/>
      <c r="I1359" s="31"/>
      <c r="J1359" s="31"/>
      <c r="K1359" s="31"/>
      <c r="L1359" s="24">
        <f t="shared" si="541"/>
        <v>0</v>
      </c>
      <c r="M1359" s="30">
        <f>6923.24</f>
        <v>6923.24</v>
      </c>
      <c r="N1359" s="30"/>
      <c r="O1359" s="30"/>
      <c r="P1359" s="30"/>
    </row>
    <row r="1360" spans="1:16" s="1" customFormat="1">
      <c r="A1360" s="28"/>
      <c r="B1360" s="32" t="s">
        <v>22</v>
      </c>
      <c r="C1360" s="24">
        <f t="shared" si="540"/>
        <v>0</v>
      </c>
      <c r="D1360" s="30"/>
      <c r="E1360" s="30"/>
      <c r="F1360" s="30"/>
      <c r="G1360" s="30"/>
      <c r="H1360" s="31"/>
      <c r="I1360" s="31"/>
      <c r="J1360" s="31"/>
      <c r="K1360" s="31"/>
      <c r="L1360" s="24">
        <f t="shared" si="541"/>
        <v>0</v>
      </c>
      <c r="M1360" s="30"/>
      <c r="N1360" s="30"/>
      <c r="O1360" s="30"/>
      <c r="P1360" s="30"/>
    </row>
    <row r="1361" spans="1:16" s="1" customFormat="1">
      <c r="A1361" s="28"/>
      <c r="B1361" s="32" t="s">
        <v>23</v>
      </c>
      <c r="C1361" s="24">
        <f t="shared" si="540"/>
        <v>0</v>
      </c>
      <c r="D1361" s="30"/>
      <c r="E1361" s="30"/>
      <c r="F1361" s="30"/>
      <c r="G1361" s="30"/>
      <c r="H1361" s="31"/>
      <c r="I1361" s="31"/>
      <c r="J1361" s="31"/>
      <c r="K1361" s="31"/>
      <c r="L1361" s="24">
        <f t="shared" si="541"/>
        <v>0</v>
      </c>
      <c r="M1361" s="30"/>
      <c r="N1361" s="30"/>
      <c r="O1361" s="30"/>
      <c r="P1361" s="30"/>
    </row>
    <row r="1362" spans="1:16" s="1" customFormat="1">
      <c r="A1362" s="28"/>
      <c r="B1362" s="29" t="s">
        <v>24</v>
      </c>
      <c r="C1362" s="24">
        <f t="shared" si="540"/>
        <v>3430.48</v>
      </c>
      <c r="D1362" s="30">
        <f>11898.6+26062.04+713+314.43+50996.06</f>
        <v>89984.13</v>
      </c>
      <c r="E1362" s="30">
        <f>16.96+3413.52</f>
        <v>3430.48</v>
      </c>
      <c r="F1362" s="30"/>
      <c r="G1362" s="30"/>
      <c r="H1362" s="31"/>
      <c r="I1362" s="31"/>
      <c r="J1362" s="31"/>
      <c r="K1362" s="31"/>
      <c r="L1362" s="24">
        <f t="shared" si="541"/>
        <v>0</v>
      </c>
      <c r="M1362" s="30">
        <f>11898.6+26062.04+713+314.43+50996.06</f>
        <v>89984.13</v>
      </c>
      <c r="N1362" s="30"/>
      <c r="O1362" s="30"/>
      <c r="P1362" s="30"/>
    </row>
    <row r="1363" spans="1:16" s="1" customFormat="1">
      <c r="A1363" s="28"/>
      <c r="B1363" s="34" t="s">
        <v>25</v>
      </c>
      <c r="C1363" s="24">
        <f t="shared" si="540"/>
        <v>0</v>
      </c>
      <c r="D1363" s="30">
        <f>30022.44+6163.7</f>
        <v>36186.14</v>
      </c>
      <c r="E1363" s="30"/>
      <c r="F1363" s="30"/>
      <c r="G1363" s="30"/>
      <c r="H1363" s="31"/>
      <c r="I1363" s="31"/>
      <c r="J1363" s="31"/>
      <c r="K1363" s="31"/>
      <c r="L1363" s="24">
        <f t="shared" si="541"/>
        <v>0</v>
      </c>
      <c r="M1363" s="30">
        <f>30022.44+6163.7</f>
        <v>36186.14</v>
      </c>
      <c r="N1363" s="30"/>
      <c r="O1363" s="30"/>
      <c r="P1363" s="30"/>
    </row>
    <row r="1364" spans="1:16" s="1" customFormat="1">
      <c r="A1364" s="28"/>
      <c r="B1364" s="32" t="s">
        <v>26</v>
      </c>
      <c r="C1364" s="24">
        <f t="shared" si="540"/>
        <v>0</v>
      </c>
      <c r="D1364" s="30"/>
      <c r="E1364" s="30"/>
      <c r="F1364" s="30"/>
      <c r="G1364" s="30"/>
      <c r="H1364" s="31"/>
      <c r="I1364" s="31"/>
      <c r="J1364" s="31"/>
      <c r="K1364" s="31"/>
      <c r="L1364" s="24">
        <f t="shared" si="541"/>
        <v>0</v>
      </c>
      <c r="M1364" s="30"/>
      <c r="N1364" s="30"/>
      <c r="O1364" s="30"/>
      <c r="P1364" s="30"/>
    </row>
    <row r="1365" spans="1:16" s="1" customFormat="1" ht="30">
      <c r="A1365" s="28"/>
      <c r="B1365" s="35" t="s">
        <v>27</v>
      </c>
      <c r="C1365" s="36">
        <f t="shared" ref="C1365:G1365" si="542">SUM(C1366:C1369)</f>
        <v>0</v>
      </c>
      <c r="D1365" s="36">
        <f t="shared" si="542"/>
        <v>190766.96000000002</v>
      </c>
      <c r="E1365" s="36">
        <f t="shared" si="542"/>
        <v>0</v>
      </c>
      <c r="F1365" s="36">
        <f t="shared" si="542"/>
        <v>0</v>
      </c>
      <c r="G1365" s="36">
        <f t="shared" si="542"/>
        <v>0</v>
      </c>
      <c r="H1365" s="31"/>
      <c r="I1365" s="31"/>
      <c r="J1365" s="31"/>
      <c r="K1365" s="31"/>
      <c r="L1365" s="36">
        <f t="shared" ref="L1365:P1365" si="543">SUM(L1366:L1369)</f>
        <v>0</v>
      </c>
      <c r="M1365" s="36">
        <f t="shared" si="543"/>
        <v>190766.96000000002</v>
      </c>
      <c r="N1365" s="36">
        <f t="shared" si="543"/>
        <v>0</v>
      </c>
      <c r="O1365" s="36">
        <f t="shared" si="543"/>
        <v>0</v>
      </c>
      <c r="P1365" s="36">
        <f t="shared" si="543"/>
        <v>0</v>
      </c>
    </row>
    <row r="1366" spans="1:16" s="1" customFormat="1">
      <c r="A1366" s="28"/>
      <c r="B1366" s="38" t="s">
        <v>28</v>
      </c>
      <c r="C1366" s="24">
        <f t="shared" ref="C1366:C1376" si="544">E1366+F1366+G1366</f>
        <v>0</v>
      </c>
      <c r="D1366" s="30">
        <f>143910.2+46856.76</f>
        <v>190766.96000000002</v>
      </c>
      <c r="E1366" s="30"/>
      <c r="F1366" s="30"/>
      <c r="G1366" s="30"/>
      <c r="H1366" s="31"/>
      <c r="I1366" s="31"/>
      <c r="J1366" s="31"/>
      <c r="K1366" s="31"/>
      <c r="L1366" s="24">
        <f t="shared" ref="L1366:L1376" si="545">N1366+O1366+P1366</f>
        <v>0</v>
      </c>
      <c r="M1366" s="30">
        <f>143910.2+46856.76</f>
        <v>190766.96000000002</v>
      </c>
      <c r="N1366" s="30"/>
      <c r="O1366" s="30"/>
      <c r="P1366" s="30"/>
    </row>
    <row r="1367" spans="1:16" s="1" customFormat="1">
      <c r="A1367" s="28"/>
      <c r="B1367" s="38" t="s">
        <v>29</v>
      </c>
      <c r="C1367" s="24">
        <f t="shared" si="544"/>
        <v>0</v>
      </c>
      <c r="D1367" s="30"/>
      <c r="E1367" s="30"/>
      <c r="F1367" s="30"/>
      <c r="G1367" s="30"/>
      <c r="H1367" s="31"/>
      <c r="I1367" s="31"/>
      <c r="J1367" s="31"/>
      <c r="K1367" s="31"/>
      <c r="L1367" s="24">
        <f t="shared" si="545"/>
        <v>0</v>
      </c>
      <c r="M1367" s="30"/>
      <c r="N1367" s="30"/>
      <c r="O1367" s="30"/>
      <c r="P1367" s="30"/>
    </row>
    <row r="1368" spans="1:16" s="1" customFormat="1">
      <c r="A1368" s="28"/>
      <c r="B1368" s="38" t="s">
        <v>30</v>
      </c>
      <c r="C1368" s="24">
        <f t="shared" si="544"/>
        <v>0</v>
      </c>
      <c r="D1368" s="30"/>
      <c r="E1368" s="30"/>
      <c r="F1368" s="30"/>
      <c r="G1368" s="30"/>
      <c r="H1368" s="31"/>
      <c r="I1368" s="31"/>
      <c r="J1368" s="31"/>
      <c r="K1368" s="31"/>
      <c r="L1368" s="24">
        <f t="shared" si="545"/>
        <v>0</v>
      </c>
      <c r="M1368" s="30"/>
      <c r="N1368" s="30"/>
      <c r="O1368" s="30"/>
      <c r="P1368" s="30"/>
    </row>
    <row r="1369" spans="1:16" s="1" customFormat="1">
      <c r="A1369" s="28"/>
      <c r="B1369" s="38" t="s">
        <v>31</v>
      </c>
      <c r="C1369" s="24">
        <f t="shared" si="544"/>
        <v>0</v>
      </c>
      <c r="D1369" s="30"/>
      <c r="E1369" s="30"/>
      <c r="F1369" s="30"/>
      <c r="G1369" s="30"/>
      <c r="H1369" s="31"/>
      <c r="I1369" s="31"/>
      <c r="J1369" s="31"/>
      <c r="K1369" s="31"/>
      <c r="L1369" s="24">
        <f t="shared" si="545"/>
        <v>0</v>
      </c>
      <c r="M1369" s="30"/>
      <c r="N1369" s="30"/>
      <c r="O1369" s="30"/>
      <c r="P1369" s="30"/>
    </row>
    <row r="1370" spans="1:16" s="1" customFormat="1" ht="30">
      <c r="A1370" s="28"/>
      <c r="B1370" s="39" t="s">
        <v>32</v>
      </c>
      <c r="C1370" s="24">
        <f t="shared" si="544"/>
        <v>0</v>
      </c>
      <c r="D1370" s="30"/>
      <c r="E1370" s="30"/>
      <c r="F1370" s="30"/>
      <c r="G1370" s="30"/>
      <c r="H1370" s="31"/>
      <c r="I1370" s="31"/>
      <c r="J1370" s="31"/>
      <c r="K1370" s="31"/>
      <c r="L1370" s="24">
        <f t="shared" si="545"/>
        <v>0</v>
      </c>
      <c r="M1370" s="30"/>
      <c r="N1370" s="30"/>
      <c r="O1370" s="30"/>
      <c r="P1370" s="30"/>
    </row>
    <row r="1371" spans="1:16" s="1" customFormat="1" ht="30">
      <c r="A1371" s="28"/>
      <c r="B1371" s="39" t="s">
        <v>33</v>
      </c>
      <c r="C1371" s="24">
        <f t="shared" si="544"/>
        <v>0</v>
      </c>
      <c r="D1371" s="30"/>
      <c r="E1371" s="30"/>
      <c r="F1371" s="30"/>
      <c r="G1371" s="30"/>
      <c r="H1371" s="31"/>
      <c r="I1371" s="31"/>
      <c r="J1371" s="31"/>
      <c r="K1371" s="31"/>
      <c r="L1371" s="24">
        <f t="shared" si="545"/>
        <v>0</v>
      </c>
      <c r="M1371" s="30"/>
      <c r="N1371" s="30"/>
      <c r="O1371" s="30"/>
      <c r="P1371" s="30"/>
    </row>
    <row r="1372" spans="1:16" s="1" customFormat="1" ht="30">
      <c r="A1372" s="28"/>
      <c r="B1372" s="40" t="s">
        <v>34</v>
      </c>
      <c r="C1372" s="24">
        <f t="shared" si="544"/>
        <v>0</v>
      </c>
      <c r="D1372" s="30"/>
      <c r="E1372" s="30"/>
      <c r="F1372" s="30"/>
      <c r="G1372" s="30"/>
      <c r="H1372" s="31"/>
      <c r="I1372" s="31"/>
      <c r="J1372" s="31"/>
      <c r="K1372" s="31"/>
      <c r="L1372" s="24">
        <f t="shared" si="545"/>
        <v>0</v>
      </c>
      <c r="M1372" s="30"/>
      <c r="N1372" s="30"/>
      <c r="O1372" s="30"/>
      <c r="P1372" s="30"/>
    </row>
    <row r="1373" spans="1:16" s="1" customFormat="1">
      <c r="A1373" s="28"/>
      <c r="B1373" s="40" t="s">
        <v>35</v>
      </c>
      <c r="C1373" s="24">
        <f t="shared" si="544"/>
        <v>0</v>
      </c>
      <c r="D1373" s="30">
        <f>783.97+37250</f>
        <v>38033.97</v>
      </c>
      <c r="E1373" s="30"/>
      <c r="F1373" s="30"/>
      <c r="G1373" s="30"/>
      <c r="H1373" s="31"/>
      <c r="I1373" s="31"/>
      <c r="J1373" s="31"/>
      <c r="K1373" s="31"/>
      <c r="L1373" s="24">
        <f t="shared" si="545"/>
        <v>0</v>
      </c>
      <c r="M1373" s="30">
        <f>783.97+37250</f>
        <v>38033.97</v>
      </c>
      <c r="N1373" s="30"/>
      <c r="O1373" s="30"/>
      <c r="P1373" s="30"/>
    </row>
    <row r="1374" spans="1:16" s="1" customFormat="1" ht="30">
      <c r="A1374" s="28"/>
      <c r="B1374" s="41" t="s">
        <v>36</v>
      </c>
      <c r="C1374" s="24">
        <f t="shared" si="544"/>
        <v>0</v>
      </c>
      <c r="D1374" s="30"/>
      <c r="E1374" s="30"/>
      <c r="F1374" s="30"/>
      <c r="G1374" s="30"/>
      <c r="H1374" s="31"/>
      <c r="I1374" s="31"/>
      <c r="J1374" s="31"/>
      <c r="K1374" s="31"/>
      <c r="L1374" s="24">
        <f t="shared" si="545"/>
        <v>0</v>
      </c>
      <c r="M1374" s="30"/>
      <c r="N1374" s="30"/>
      <c r="O1374" s="30"/>
      <c r="P1374" s="30"/>
    </row>
    <row r="1375" spans="1:16" s="1" customFormat="1">
      <c r="A1375" s="28"/>
      <c r="B1375" s="42" t="s">
        <v>37</v>
      </c>
      <c r="C1375" s="24">
        <f t="shared" si="544"/>
        <v>2.2999999999999998</v>
      </c>
      <c r="D1375" s="30">
        <v>25694.94</v>
      </c>
      <c r="E1375" s="30">
        <v>2.2999999999999998</v>
      </c>
      <c r="F1375" s="30"/>
      <c r="G1375" s="30"/>
      <c r="H1375" s="31"/>
      <c r="I1375" s="31"/>
      <c r="J1375" s="31"/>
      <c r="K1375" s="31"/>
      <c r="L1375" s="24">
        <f t="shared" si="545"/>
        <v>0</v>
      </c>
      <c r="M1375" s="30">
        <v>25694.94</v>
      </c>
      <c r="N1375" s="30"/>
      <c r="O1375" s="30"/>
      <c r="P1375" s="30"/>
    </row>
    <row r="1376" spans="1:16" s="1" customFormat="1" ht="30">
      <c r="A1376" s="28"/>
      <c r="B1376" s="42" t="s">
        <v>38</v>
      </c>
      <c r="C1376" s="24">
        <f t="shared" si="544"/>
        <v>0</v>
      </c>
      <c r="D1376" s="30"/>
      <c r="E1376" s="30"/>
      <c r="F1376" s="30"/>
      <c r="G1376" s="30"/>
      <c r="H1376" s="31"/>
      <c r="I1376" s="31"/>
      <c r="J1376" s="31"/>
      <c r="K1376" s="31"/>
      <c r="L1376" s="24">
        <f t="shared" si="545"/>
        <v>0</v>
      </c>
      <c r="M1376" s="30"/>
      <c r="N1376" s="30"/>
      <c r="O1376" s="30"/>
      <c r="P1376" s="30"/>
    </row>
    <row r="1377" spans="1:16" s="1" customFormat="1" ht="30">
      <c r="A1377" s="28"/>
      <c r="B1377" s="43" t="s">
        <v>39</v>
      </c>
      <c r="C1377" s="36">
        <f t="shared" ref="C1377:G1377" si="546">SUM(C1378:C1384)</f>
        <v>0</v>
      </c>
      <c r="D1377" s="36">
        <f t="shared" si="546"/>
        <v>310828</v>
      </c>
      <c r="E1377" s="36">
        <f t="shared" si="546"/>
        <v>0</v>
      </c>
      <c r="F1377" s="36">
        <f t="shared" si="546"/>
        <v>0</v>
      </c>
      <c r="G1377" s="36">
        <f t="shared" si="546"/>
        <v>0</v>
      </c>
      <c r="H1377" s="31"/>
      <c r="I1377" s="31"/>
      <c r="J1377" s="31"/>
      <c r="K1377" s="31"/>
      <c r="L1377" s="36">
        <f t="shared" ref="L1377:P1377" si="547">SUM(L1378:L1384)</f>
        <v>0</v>
      </c>
      <c r="M1377" s="36">
        <f t="shared" si="547"/>
        <v>310828</v>
      </c>
      <c r="N1377" s="36">
        <f t="shared" si="547"/>
        <v>0</v>
      </c>
      <c r="O1377" s="36">
        <f t="shared" si="547"/>
        <v>0</v>
      </c>
      <c r="P1377" s="36">
        <f t="shared" si="547"/>
        <v>0</v>
      </c>
    </row>
    <row r="1378" spans="1:16" s="1" customFormat="1" ht="30">
      <c r="A1378" s="28" t="s">
        <v>40</v>
      </c>
      <c r="B1378" s="39" t="s">
        <v>41</v>
      </c>
      <c r="C1378" s="24">
        <f t="shared" ref="C1378:C1384" si="548">E1378+F1378+G1378</f>
        <v>0</v>
      </c>
      <c r="D1378" s="30"/>
      <c r="E1378" s="30"/>
      <c r="F1378" s="30"/>
      <c r="G1378" s="30"/>
      <c r="H1378" s="31"/>
      <c r="I1378" s="31"/>
      <c r="J1378" s="31"/>
      <c r="K1378" s="31"/>
      <c r="L1378" s="24">
        <f t="shared" ref="L1378:L1384" si="549">N1378+O1378+P1378</f>
        <v>0</v>
      </c>
      <c r="M1378" s="30"/>
      <c r="N1378" s="30"/>
      <c r="O1378" s="30"/>
      <c r="P1378" s="30"/>
    </row>
    <row r="1379" spans="1:16" s="1" customFormat="1">
      <c r="A1379" s="28"/>
      <c r="B1379" s="39" t="s">
        <v>42</v>
      </c>
      <c r="C1379" s="24">
        <f t="shared" si="548"/>
        <v>0</v>
      </c>
      <c r="D1379" s="30"/>
      <c r="E1379" s="30"/>
      <c r="F1379" s="30"/>
      <c r="G1379" s="30"/>
      <c r="H1379" s="31"/>
      <c r="I1379" s="31"/>
      <c r="J1379" s="31"/>
      <c r="K1379" s="31"/>
      <c r="L1379" s="24">
        <f t="shared" si="549"/>
        <v>0</v>
      </c>
      <c r="M1379" s="30"/>
      <c r="N1379" s="30"/>
      <c r="O1379" s="30"/>
      <c r="P1379" s="30"/>
    </row>
    <row r="1380" spans="1:16" s="1" customFormat="1">
      <c r="A1380" s="28"/>
      <c r="B1380" s="39" t="s">
        <v>43</v>
      </c>
      <c r="C1380" s="24">
        <f t="shared" si="548"/>
        <v>0</v>
      </c>
      <c r="D1380" s="30"/>
      <c r="E1380" s="30"/>
      <c r="F1380" s="30"/>
      <c r="G1380" s="30"/>
      <c r="H1380" s="31"/>
      <c r="I1380" s="31"/>
      <c r="J1380" s="31"/>
      <c r="K1380" s="31"/>
      <c r="L1380" s="24">
        <f t="shared" si="549"/>
        <v>0</v>
      </c>
      <c r="M1380" s="30"/>
      <c r="N1380" s="30"/>
      <c r="O1380" s="30"/>
      <c r="P1380" s="30"/>
    </row>
    <row r="1381" spans="1:16" s="1" customFormat="1">
      <c r="A1381" s="28"/>
      <c r="B1381" s="39" t="s">
        <v>44</v>
      </c>
      <c r="C1381" s="24">
        <f t="shared" si="548"/>
        <v>0</v>
      </c>
      <c r="D1381" s="30"/>
      <c r="E1381" s="30"/>
      <c r="F1381" s="30"/>
      <c r="G1381" s="30"/>
      <c r="H1381" s="31"/>
      <c r="I1381" s="31"/>
      <c r="J1381" s="31"/>
      <c r="K1381" s="31"/>
      <c r="L1381" s="24">
        <f t="shared" si="549"/>
        <v>0</v>
      </c>
      <c r="M1381" s="30"/>
      <c r="N1381" s="30"/>
      <c r="O1381" s="30"/>
      <c r="P1381" s="30"/>
    </row>
    <row r="1382" spans="1:16" s="1" customFormat="1">
      <c r="A1382" s="28"/>
      <c r="B1382" s="39" t="s">
        <v>45</v>
      </c>
      <c r="C1382" s="24">
        <f t="shared" si="548"/>
        <v>0</v>
      </c>
      <c r="D1382" s="30"/>
      <c r="E1382" s="30"/>
      <c r="F1382" s="30"/>
      <c r="G1382" s="30"/>
      <c r="H1382" s="31"/>
      <c r="I1382" s="31"/>
      <c r="J1382" s="31"/>
      <c r="K1382" s="31"/>
      <c r="L1382" s="24">
        <f t="shared" si="549"/>
        <v>0</v>
      </c>
      <c r="M1382" s="30"/>
      <c r="N1382" s="30"/>
      <c r="O1382" s="30"/>
      <c r="P1382" s="30"/>
    </row>
    <row r="1383" spans="1:16" s="1" customFormat="1" ht="30">
      <c r="A1383" s="28"/>
      <c r="B1383" s="39" t="s">
        <v>46</v>
      </c>
      <c r="C1383" s="24">
        <f t="shared" si="548"/>
        <v>0</v>
      </c>
      <c r="D1383" s="30"/>
      <c r="E1383" s="30"/>
      <c r="F1383" s="30"/>
      <c r="G1383" s="30"/>
      <c r="H1383" s="31"/>
      <c r="I1383" s="31"/>
      <c r="J1383" s="31"/>
      <c r="K1383" s="31"/>
      <c r="L1383" s="24">
        <f t="shared" si="549"/>
        <v>0</v>
      </c>
      <c r="M1383" s="30"/>
      <c r="N1383" s="30"/>
      <c r="O1383" s="30"/>
      <c r="P1383" s="30"/>
    </row>
    <row r="1384" spans="1:16" s="1" customFormat="1">
      <c r="A1384" s="28"/>
      <c r="B1384" s="39" t="s">
        <v>47</v>
      </c>
      <c r="C1384" s="24">
        <f t="shared" si="548"/>
        <v>0</v>
      </c>
      <c r="D1384" s="30">
        <v>310828</v>
      </c>
      <c r="E1384" s="30"/>
      <c r="F1384" s="30"/>
      <c r="G1384" s="30"/>
      <c r="H1384" s="31"/>
      <c r="I1384" s="31"/>
      <c r="J1384" s="31"/>
      <c r="K1384" s="31"/>
      <c r="L1384" s="24">
        <f t="shared" si="549"/>
        <v>0</v>
      </c>
      <c r="M1384" s="30">
        <v>310828</v>
      </c>
      <c r="N1384" s="30"/>
      <c r="O1384" s="30"/>
      <c r="P1384" s="30"/>
    </row>
    <row r="1385" spans="1:16" s="1" customFormat="1" ht="36.75" customHeight="1">
      <c r="A1385" s="211" t="s">
        <v>3</v>
      </c>
      <c r="B1385" s="213" t="s">
        <v>4</v>
      </c>
      <c r="C1385" s="213" t="s">
        <v>5</v>
      </c>
      <c r="D1385" s="10" t="s">
        <v>6</v>
      </c>
      <c r="E1385" s="215" t="s">
        <v>7</v>
      </c>
      <c r="F1385" s="216"/>
      <c r="G1385" s="217"/>
      <c r="H1385" s="218" t="s">
        <v>8</v>
      </c>
      <c r="I1385" s="218"/>
      <c r="J1385" s="218"/>
      <c r="K1385" s="11"/>
      <c r="L1385" s="219" t="s">
        <v>9</v>
      </c>
      <c r="M1385" s="12" t="s">
        <v>6</v>
      </c>
      <c r="N1385" s="208" t="s">
        <v>10</v>
      </c>
      <c r="O1385" s="209"/>
      <c r="P1385" s="210"/>
    </row>
    <row r="1386" spans="1:16" s="1" customFormat="1" ht="47.25" customHeight="1">
      <c r="A1386" s="212"/>
      <c r="B1386" s="214"/>
      <c r="C1386" s="214"/>
      <c r="D1386" s="13" t="s">
        <v>11</v>
      </c>
      <c r="E1386" s="13" t="s">
        <v>12</v>
      </c>
      <c r="F1386" s="13" t="s">
        <v>13</v>
      </c>
      <c r="G1386" s="13" t="s">
        <v>14</v>
      </c>
      <c r="H1386" s="14" t="s">
        <v>15</v>
      </c>
      <c r="I1386" s="14" t="s">
        <v>16</v>
      </c>
      <c r="J1386" s="14" t="s">
        <v>17</v>
      </c>
      <c r="K1386" s="14" t="s">
        <v>18</v>
      </c>
      <c r="L1386" s="220"/>
      <c r="M1386" s="15" t="s">
        <v>11</v>
      </c>
      <c r="N1386" s="15" t="s">
        <v>12</v>
      </c>
      <c r="O1386" s="15" t="s">
        <v>13</v>
      </c>
      <c r="P1386" s="15" t="s">
        <v>14</v>
      </c>
    </row>
    <row r="1387" spans="1:16" s="1" customFormat="1">
      <c r="A1387" s="80">
        <v>25</v>
      </c>
      <c r="B1387" s="17" t="s">
        <v>94</v>
      </c>
      <c r="C1387" s="81">
        <f t="shared" ref="C1387:G1387" si="550">C1388+C1389+C1390+C1391+C1392+C1393+C1394+C1395+C1400+C1401+C1402+C1403+C1404+C1405+C1406+C1407</f>
        <v>1065851.1299999999</v>
      </c>
      <c r="D1387" s="81">
        <f t="shared" si="550"/>
        <v>1512300.3599999999</v>
      </c>
      <c r="E1387" s="81">
        <f t="shared" si="550"/>
        <v>902957.40999999992</v>
      </c>
      <c r="F1387" s="81">
        <f t="shared" si="550"/>
        <v>0</v>
      </c>
      <c r="G1387" s="81">
        <f t="shared" si="550"/>
        <v>162893.72</v>
      </c>
      <c r="H1387" s="93"/>
      <c r="I1387" s="94"/>
      <c r="J1387" s="94"/>
      <c r="K1387" s="84"/>
      <c r="L1387" s="81">
        <f t="shared" ref="L1387:P1387" si="551">L1388+L1389+L1390+L1391+L1392+L1393+L1394+L1395+L1400+L1401+L1402+L1403+L1404+L1405+L1406+L1407</f>
        <v>0</v>
      </c>
      <c r="M1387" s="81">
        <f t="shared" si="551"/>
        <v>1512300.3599999999</v>
      </c>
      <c r="N1387" s="81">
        <f t="shared" si="551"/>
        <v>0</v>
      </c>
      <c r="O1387" s="81">
        <f t="shared" si="551"/>
        <v>0</v>
      </c>
      <c r="P1387" s="81">
        <f t="shared" si="551"/>
        <v>0</v>
      </c>
    </row>
    <row r="1388" spans="1:16" s="5" customFormat="1">
      <c r="A1388" s="22"/>
      <c r="B1388" s="23" t="s">
        <v>20</v>
      </c>
      <c r="C1388" s="24">
        <f t="shared" ref="C1388:C1394" si="552">E1388+F1388+G1388</f>
        <v>0</v>
      </c>
      <c r="D1388" s="25"/>
      <c r="E1388" s="25"/>
      <c r="F1388" s="25"/>
      <c r="G1388" s="25"/>
      <c r="H1388" s="60"/>
      <c r="I1388" s="61"/>
      <c r="J1388" s="61"/>
      <c r="K1388" s="27"/>
      <c r="L1388" s="24">
        <f t="shared" ref="L1388:L1394" si="553">N1388+O1388+P1388</f>
        <v>0</v>
      </c>
      <c r="M1388" s="25"/>
      <c r="N1388" s="25"/>
      <c r="O1388" s="25"/>
      <c r="P1388" s="25"/>
    </row>
    <row r="1389" spans="1:16" s="1" customFormat="1">
      <c r="A1389" s="28"/>
      <c r="B1389" s="29" t="s">
        <v>21</v>
      </c>
      <c r="C1389" s="24">
        <f t="shared" si="552"/>
        <v>513909.63</v>
      </c>
      <c r="D1389" s="30"/>
      <c r="E1389" s="30">
        <v>513909.63</v>
      </c>
      <c r="F1389" s="30"/>
      <c r="G1389" s="30"/>
      <c r="H1389" s="31"/>
      <c r="I1389" s="31"/>
      <c r="J1389" s="31"/>
      <c r="K1389" s="31"/>
      <c r="L1389" s="24">
        <f t="shared" si="553"/>
        <v>0</v>
      </c>
      <c r="M1389" s="30"/>
      <c r="N1389" s="30"/>
      <c r="O1389" s="30"/>
      <c r="P1389" s="30"/>
    </row>
    <row r="1390" spans="1:16" s="1" customFormat="1">
      <c r="A1390" s="28"/>
      <c r="B1390" s="32" t="s">
        <v>22</v>
      </c>
      <c r="C1390" s="24">
        <f t="shared" si="552"/>
        <v>0</v>
      </c>
      <c r="D1390" s="30"/>
      <c r="E1390" s="30"/>
      <c r="F1390" s="30"/>
      <c r="G1390" s="30"/>
      <c r="H1390" s="31"/>
      <c r="I1390" s="31"/>
      <c r="J1390" s="31"/>
      <c r="K1390" s="31"/>
      <c r="L1390" s="24">
        <f t="shared" si="553"/>
        <v>0</v>
      </c>
      <c r="M1390" s="30"/>
      <c r="N1390" s="30"/>
      <c r="O1390" s="30"/>
      <c r="P1390" s="30"/>
    </row>
    <row r="1391" spans="1:16" s="1" customFormat="1">
      <c r="A1391" s="28"/>
      <c r="B1391" s="32" t="s">
        <v>23</v>
      </c>
      <c r="C1391" s="24">
        <f t="shared" si="552"/>
        <v>125306.49</v>
      </c>
      <c r="D1391" s="30">
        <v>145612</v>
      </c>
      <c r="E1391" s="30">
        <v>125306.49</v>
      </c>
      <c r="F1391" s="30"/>
      <c r="G1391" s="30"/>
      <c r="H1391" s="31"/>
      <c r="I1391" s="31"/>
      <c r="J1391" s="31"/>
      <c r="K1391" s="31"/>
      <c r="L1391" s="24">
        <f t="shared" si="553"/>
        <v>0</v>
      </c>
      <c r="M1391" s="30">
        <v>145612</v>
      </c>
      <c r="N1391" s="30"/>
      <c r="O1391" s="30"/>
      <c r="P1391" s="30"/>
    </row>
    <row r="1392" spans="1:16" s="1" customFormat="1">
      <c r="A1392" s="28"/>
      <c r="B1392" s="29" t="s">
        <v>24</v>
      </c>
      <c r="C1392" s="24">
        <f t="shared" si="552"/>
        <v>0</v>
      </c>
      <c r="D1392" s="30">
        <f>14339.19+177.56+4503.37+8828.6</f>
        <v>27848.720000000001</v>
      </c>
      <c r="E1392" s="30"/>
      <c r="F1392" s="30"/>
      <c r="G1392" s="30"/>
      <c r="H1392" s="31"/>
      <c r="I1392" s="31"/>
      <c r="J1392" s="31"/>
      <c r="K1392" s="31"/>
      <c r="L1392" s="24">
        <f t="shared" si="553"/>
        <v>0</v>
      </c>
      <c r="M1392" s="30">
        <f>14339.19+177.56+4503.37+8828.6</f>
        <v>27848.720000000001</v>
      </c>
      <c r="N1392" s="30"/>
      <c r="O1392" s="30"/>
      <c r="P1392" s="30"/>
    </row>
    <row r="1393" spans="1:16" s="1" customFormat="1">
      <c r="A1393" s="28"/>
      <c r="B1393" s="34" t="s">
        <v>25</v>
      </c>
      <c r="C1393" s="24">
        <f t="shared" si="552"/>
        <v>303.57</v>
      </c>
      <c r="D1393" s="30">
        <v>13205.47</v>
      </c>
      <c r="E1393" s="30">
        <v>303.57</v>
      </c>
      <c r="F1393" s="30"/>
      <c r="G1393" s="30"/>
      <c r="H1393" s="31"/>
      <c r="I1393" s="31"/>
      <c r="J1393" s="31"/>
      <c r="K1393" s="31"/>
      <c r="L1393" s="24">
        <f t="shared" si="553"/>
        <v>0</v>
      </c>
      <c r="M1393" s="30">
        <v>13205.47</v>
      </c>
      <c r="N1393" s="30"/>
      <c r="O1393" s="30"/>
      <c r="P1393" s="30"/>
    </row>
    <row r="1394" spans="1:16" s="1" customFormat="1">
      <c r="A1394" s="28"/>
      <c r="B1394" s="32" t="s">
        <v>26</v>
      </c>
      <c r="C1394" s="24">
        <f t="shared" si="552"/>
        <v>0</v>
      </c>
      <c r="D1394" s="30"/>
      <c r="E1394" s="30"/>
      <c r="F1394" s="30"/>
      <c r="G1394" s="30"/>
      <c r="H1394" s="31"/>
      <c r="I1394" s="31"/>
      <c r="J1394" s="31"/>
      <c r="K1394" s="31"/>
      <c r="L1394" s="24">
        <f t="shared" si="553"/>
        <v>0</v>
      </c>
      <c r="M1394" s="30"/>
      <c r="N1394" s="30"/>
      <c r="O1394" s="30"/>
      <c r="P1394" s="30"/>
    </row>
    <row r="1395" spans="1:16" s="1" customFormat="1" ht="30">
      <c r="A1395" s="28"/>
      <c r="B1395" s="35" t="s">
        <v>27</v>
      </c>
      <c r="C1395" s="36">
        <f t="shared" ref="C1395:G1395" si="554">SUM(C1396:C1399)</f>
        <v>198500.1</v>
      </c>
      <c r="D1395" s="36">
        <f t="shared" si="554"/>
        <v>367530.33</v>
      </c>
      <c r="E1395" s="36">
        <f t="shared" si="554"/>
        <v>198500.1</v>
      </c>
      <c r="F1395" s="36">
        <f t="shared" si="554"/>
        <v>0</v>
      </c>
      <c r="G1395" s="36">
        <f t="shared" si="554"/>
        <v>0</v>
      </c>
      <c r="H1395" s="31"/>
      <c r="I1395" s="31"/>
      <c r="J1395" s="31"/>
      <c r="K1395" s="31"/>
      <c r="L1395" s="36">
        <f t="shared" ref="L1395:P1395" si="555">SUM(L1396:L1399)</f>
        <v>0</v>
      </c>
      <c r="M1395" s="36">
        <f t="shared" si="555"/>
        <v>367530.33</v>
      </c>
      <c r="N1395" s="36">
        <f t="shared" si="555"/>
        <v>0</v>
      </c>
      <c r="O1395" s="36">
        <f t="shared" si="555"/>
        <v>0</v>
      </c>
      <c r="P1395" s="36">
        <f t="shared" si="555"/>
        <v>0</v>
      </c>
    </row>
    <row r="1396" spans="1:16" s="1" customFormat="1">
      <c r="A1396" s="28"/>
      <c r="B1396" s="38" t="s">
        <v>28</v>
      </c>
      <c r="C1396" s="24">
        <f t="shared" ref="C1396:C1406" si="556">E1396+F1396+G1396</f>
        <v>0</v>
      </c>
      <c r="D1396" s="30">
        <v>290375.33</v>
      </c>
      <c r="E1396" s="30"/>
      <c r="F1396" s="30"/>
      <c r="G1396" s="30"/>
      <c r="H1396" s="31"/>
      <c r="I1396" s="31"/>
      <c r="J1396" s="31"/>
      <c r="K1396" s="31"/>
      <c r="L1396" s="24">
        <f t="shared" ref="L1396:L1406" si="557">N1396+O1396+P1396</f>
        <v>0</v>
      </c>
      <c r="M1396" s="30">
        <v>290375.33</v>
      </c>
      <c r="N1396" s="30"/>
      <c r="O1396" s="30"/>
      <c r="P1396" s="30"/>
    </row>
    <row r="1397" spans="1:16" s="1" customFormat="1">
      <c r="A1397" s="28"/>
      <c r="B1397" s="38" t="s">
        <v>29</v>
      </c>
      <c r="C1397" s="24">
        <f t="shared" si="556"/>
        <v>0</v>
      </c>
      <c r="D1397" s="30">
        <v>64979.01</v>
      </c>
      <c r="E1397" s="30"/>
      <c r="F1397" s="30"/>
      <c r="G1397" s="30"/>
      <c r="H1397" s="31"/>
      <c r="I1397" s="31"/>
      <c r="J1397" s="31"/>
      <c r="K1397" s="31"/>
      <c r="L1397" s="24">
        <f t="shared" si="557"/>
        <v>0</v>
      </c>
      <c r="M1397" s="30">
        <v>64979.01</v>
      </c>
      <c r="N1397" s="30"/>
      <c r="O1397" s="30"/>
      <c r="P1397" s="30"/>
    </row>
    <row r="1398" spans="1:16" s="1" customFormat="1">
      <c r="A1398" s="28"/>
      <c r="B1398" s="38" t="s">
        <v>30</v>
      </c>
      <c r="C1398" s="24">
        <f t="shared" si="556"/>
        <v>189500</v>
      </c>
      <c r="D1398" s="30">
        <v>12175.99</v>
      </c>
      <c r="E1398" s="30">
        <v>189500</v>
      </c>
      <c r="F1398" s="30"/>
      <c r="G1398" s="30"/>
      <c r="H1398" s="31"/>
      <c r="I1398" s="31"/>
      <c r="J1398" s="31"/>
      <c r="K1398" s="31"/>
      <c r="L1398" s="24">
        <f t="shared" si="557"/>
        <v>0</v>
      </c>
      <c r="M1398" s="30">
        <v>12175.99</v>
      </c>
      <c r="N1398" s="30"/>
      <c r="O1398" s="30"/>
      <c r="P1398" s="30"/>
    </row>
    <row r="1399" spans="1:16" s="1" customFormat="1">
      <c r="A1399" s="28"/>
      <c r="B1399" s="38" t="s">
        <v>31</v>
      </c>
      <c r="C1399" s="24">
        <f t="shared" si="556"/>
        <v>9000.1</v>
      </c>
      <c r="D1399" s="30"/>
      <c r="E1399" s="30">
        <v>9000.1</v>
      </c>
      <c r="F1399" s="30"/>
      <c r="G1399" s="30"/>
      <c r="H1399" s="31"/>
      <c r="I1399" s="31"/>
      <c r="J1399" s="31"/>
      <c r="K1399" s="31"/>
      <c r="L1399" s="24">
        <f t="shared" si="557"/>
        <v>0</v>
      </c>
      <c r="M1399" s="30"/>
      <c r="N1399" s="30"/>
      <c r="O1399" s="30"/>
      <c r="P1399" s="30"/>
    </row>
    <row r="1400" spans="1:16" s="1" customFormat="1" ht="30">
      <c r="A1400" s="28"/>
      <c r="B1400" s="39" t="s">
        <v>32</v>
      </c>
      <c r="C1400" s="24">
        <f t="shared" si="556"/>
        <v>0</v>
      </c>
      <c r="D1400" s="30"/>
      <c r="E1400" s="30"/>
      <c r="F1400" s="30"/>
      <c r="G1400" s="30"/>
      <c r="H1400" s="31"/>
      <c r="I1400" s="31"/>
      <c r="J1400" s="31"/>
      <c r="K1400" s="31"/>
      <c r="L1400" s="24">
        <f t="shared" si="557"/>
        <v>0</v>
      </c>
      <c r="M1400" s="30"/>
      <c r="N1400" s="30"/>
      <c r="O1400" s="30"/>
      <c r="P1400" s="30"/>
    </row>
    <row r="1401" spans="1:16" s="1" customFormat="1" ht="30">
      <c r="A1401" s="28"/>
      <c r="B1401" s="39" t="s">
        <v>33</v>
      </c>
      <c r="C1401" s="24">
        <f t="shared" si="556"/>
        <v>3160</v>
      </c>
      <c r="D1401" s="30">
        <f>464.34+6494.15</f>
        <v>6958.49</v>
      </c>
      <c r="E1401" s="30">
        <v>3160</v>
      </c>
      <c r="F1401" s="30"/>
      <c r="G1401" s="30"/>
      <c r="H1401" s="31"/>
      <c r="I1401" s="31"/>
      <c r="J1401" s="31"/>
      <c r="K1401" s="31"/>
      <c r="L1401" s="24">
        <f t="shared" si="557"/>
        <v>0</v>
      </c>
      <c r="M1401" s="30">
        <f>464.34+6494.15</f>
        <v>6958.49</v>
      </c>
      <c r="N1401" s="30"/>
      <c r="O1401" s="30"/>
      <c r="P1401" s="30"/>
    </row>
    <row r="1402" spans="1:16" s="1" customFormat="1" ht="30">
      <c r="A1402" s="28"/>
      <c r="B1402" s="40" t="s">
        <v>34</v>
      </c>
      <c r="C1402" s="24">
        <f t="shared" si="556"/>
        <v>0</v>
      </c>
      <c r="D1402" s="30"/>
      <c r="E1402" s="30"/>
      <c r="F1402" s="30"/>
      <c r="G1402" s="30"/>
      <c r="H1402" s="31"/>
      <c r="I1402" s="31"/>
      <c r="J1402" s="31"/>
      <c r="K1402" s="31"/>
      <c r="L1402" s="24">
        <f t="shared" si="557"/>
        <v>0</v>
      </c>
      <c r="M1402" s="30"/>
      <c r="N1402" s="30"/>
      <c r="O1402" s="30"/>
      <c r="P1402" s="30"/>
    </row>
    <row r="1403" spans="1:16" s="1" customFormat="1">
      <c r="A1403" s="28"/>
      <c r="B1403" s="40" t="s">
        <v>35</v>
      </c>
      <c r="C1403" s="24">
        <f t="shared" si="556"/>
        <v>224556.34</v>
      </c>
      <c r="D1403" s="30">
        <f>20000+19000+6373.85</f>
        <v>45373.85</v>
      </c>
      <c r="E1403" s="30">
        <f>61560+102.62</f>
        <v>61662.62</v>
      </c>
      <c r="F1403" s="30"/>
      <c r="G1403" s="30">
        <v>162893.72</v>
      </c>
      <c r="H1403" s="31"/>
      <c r="I1403" s="31"/>
      <c r="J1403" s="31"/>
      <c r="K1403" s="31"/>
      <c r="L1403" s="24">
        <f t="shared" si="557"/>
        <v>0</v>
      </c>
      <c r="M1403" s="30">
        <f>20000+19000+6373.85</f>
        <v>45373.85</v>
      </c>
      <c r="N1403" s="30"/>
      <c r="O1403" s="30"/>
      <c r="P1403" s="30"/>
    </row>
    <row r="1404" spans="1:16" s="1" customFormat="1" ht="30">
      <c r="A1404" s="28"/>
      <c r="B1404" s="41" t="s">
        <v>36</v>
      </c>
      <c r="C1404" s="24">
        <f t="shared" si="556"/>
        <v>0</v>
      </c>
      <c r="D1404" s="30"/>
      <c r="E1404" s="30"/>
      <c r="F1404" s="30"/>
      <c r="G1404" s="30"/>
      <c r="H1404" s="31"/>
      <c r="I1404" s="31"/>
      <c r="J1404" s="31"/>
      <c r="K1404" s="31"/>
      <c r="L1404" s="24">
        <f t="shared" si="557"/>
        <v>0</v>
      </c>
      <c r="M1404" s="30"/>
      <c r="N1404" s="30"/>
      <c r="O1404" s="30"/>
      <c r="P1404" s="30"/>
    </row>
    <row r="1405" spans="1:16" s="1" customFormat="1">
      <c r="A1405" s="28"/>
      <c r="B1405" s="42" t="s">
        <v>37</v>
      </c>
      <c r="C1405" s="24">
        <f t="shared" si="556"/>
        <v>0</v>
      </c>
      <c r="D1405" s="30">
        <v>46525</v>
      </c>
      <c r="E1405" s="30"/>
      <c r="F1405" s="30"/>
      <c r="G1405" s="30"/>
      <c r="H1405" s="31"/>
      <c r="I1405" s="31"/>
      <c r="J1405" s="31"/>
      <c r="K1405" s="31"/>
      <c r="L1405" s="24">
        <f t="shared" si="557"/>
        <v>0</v>
      </c>
      <c r="M1405" s="30">
        <v>46525</v>
      </c>
      <c r="N1405" s="30"/>
      <c r="O1405" s="30"/>
      <c r="P1405" s="30"/>
    </row>
    <row r="1406" spans="1:16" s="1" customFormat="1" ht="30">
      <c r="A1406" s="28"/>
      <c r="B1406" s="42" t="s">
        <v>38</v>
      </c>
      <c r="C1406" s="24">
        <f t="shared" si="556"/>
        <v>0</v>
      </c>
      <c r="D1406" s="30">
        <f>9675+440315.3+320000+9189.2</f>
        <v>779179.5</v>
      </c>
      <c r="E1406" s="30"/>
      <c r="F1406" s="30"/>
      <c r="G1406" s="30"/>
      <c r="H1406" s="31"/>
      <c r="I1406" s="31"/>
      <c r="J1406" s="31"/>
      <c r="K1406" s="31"/>
      <c r="L1406" s="24">
        <f t="shared" si="557"/>
        <v>0</v>
      </c>
      <c r="M1406" s="30">
        <f>9675+440315.3+320000+9189.2</f>
        <v>779179.5</v>
      </c>
      <c r="N1406" s="30"/>
      <c r="O1406" s="30"/>
      <c r="P1406" s="30"/>
    </row>
    <row r="1407" spans="1:16" s="1" customFormat="1" ht="30">
      <c r="A1407" s="28"/>
      <c r="B1407" s="43" t="s">
        <v>39</v>
      </c>
      <c r="C1407" s="36">
        <f t="shared" ref="C1407:G1407" si="558">SUM(C1408:C1414)</f>
        <v>115</v>
      </c>
      <c r="D1407" s="36">
        <f t="shared" si="558"/>
        <v>80067</v>
      </c>
      <c r="E1407" s="36">
        <f t="shared" si="558"/>
        <v>115</v>
      </c>
      <c r="F1407" s="36">
        <f t="shared" si="558"/>
        <v>0</v>
      </c>
      <c r="G1407" s="36">
        <f t="shared" si="558"/>
        <v>0</v>
      </c>
      <c r="H1407" s="31"/>
      <c r="I1407" s="31"/>
      <c r="J1407" s="31"/>
      <c r="K1407" s="31"/>
      <c r="L1407" s="36">
        <f t="shared" ref="L1407:P1407" si="559">SUM(L1408:L1414)</f>
        <v>0</v>
      </c>
      <c r="M1407" s="36">
        <f t="shared" si="559"/>
        <v>80067</v>
      </c>
      <c r="N1407" s="36">
        <f t="shared" si="559"/>
        <v>0</v>
      </c>
      <c r="O1407" s="36">
        <f t="shared" si="559"/>
        <v>0</v>
      </c>
      <c r="P1407" s="36">
        <f t="shared" si="559"/>
        <v>0</v>
      </c>
    </row>
    <row r="1408" spans="1:16" s="1" customFormat="1" ht="30">
      <c r="A1408" s="28" t="s">
        <v>40</v>
      </c>
      <c r="B1408" s="39" t="s">
        <v>41</v>
      </c>
      <c r="C1408" s="24">
        <f t="shared" ref="C1408:C1414" si="560">E1408+F1408+G1408</f>
        <v>0</v>
      </c>
      <c r="D1408" s="30"/>
      <c r="E1408" s="30"/>
      <c r="F1408" s="30"/>
      <c r="G1408" s="30"/>
      <c r="H1408" s="31"/>
      <c r="I1408" s="31"/>
      <c r="J1408" s="31"/>
      <c r="K1408" s="31"/>
      <c r="L1408" s="24">
        <f t="shared" ref="L1408:L1414" si="561">N1408+O1408+P1408</f>
        <v>0</v>
      </c>
      <c r="M1408" s="30"/>
      <c r="N1408" s="30"/>
      <c r="O1408" s="30"/>
      <c r="P1408" s="30"/>
    </row>
    <row r="1409" spans="1:16" s="1" customFormat="1">
      <c r="A1409" s="28"/>
      <c r="B1409" s="39" t="s">
        <v>42</v>
      </c>
      <c r="C1409" s="24">
        <f t="shared" si="560"/>
        <v>0</v>
      </c>
      <c r="D1409" s="30"/>
      <c r="E1409" s="30"/>
      <c r="F1409" s="30"/>
      <c r="G1409" s="30"/>
      <c r="H1409" s="31"/>
      <c r="I1409" s="31"/>
      <c r="J1409" s="31"/>
      <c r="K1409" s="31"/>
      <c r="L1409" s="24">
        <f t="shared" si="561"/>
        <v>0</v>
      </c>
      <c r="M1409" s="30"/>
      <c r="N1409" s="30"/>
      <c r="O1409" s="30"/>
      <c r="P1409" s="30"/>
    </row>
    <row r="1410" spans="1:16" s="1" customFormat="1">
      <c r="A1410" s="28"/>
      <c r="B1410" s="39" t="s">
        <v>43</v>
      </c>
      <c r="C1410" s="24">
        <f t="shared" si="560"/>
        <v>0</v>
      </c>
      <c r="D1410" s="30"/>
      <c r="E1410" s="30"/>
      <c r="F1410" s="30"/>
      <c r="G1410" s="30"/>
      <c r="H1410" s="31"/>
      <c r="I1410" s="31"/>
      <c r="J1410" s="31"/>
      <c r="K1410" s="31"/>
      <c r="L1410" s="24">
        <f t="shared" si="561"/>
        <v>0</v>
      </c>
      <c r="M1410" s="30"/>
      <c r="N1410" s="30"/>
      <c r="O1410" s="30"/>
      <c r="P1410" s="30"/>
    </row>
    <row r="1411" spans="1:16" s="1" customFormat="1">
      <c r="A1411" s="28"/>
      <c r="B1411" s="39" t="s">
        <v>44</v>
      </c>
      <c r="C1411" s="24">
        <f t="shared" si="560"/>
        <v>0</v>
      </c>
      <c r="D1411" s="30"/>
      <c r="E1411" s="30"/>
      <c r="F1411" s="30"/>
      <c r="G1411" s="30"/>
      <c r="H1411" s="31"/>
      <c r="I1411" s="31"/>
      <c r="J1411" s="31"/>
      <c r="K1411" s="31"/>
      <c r="L1411" s="24">
        <f t="shared" si="561"/>
        <v>0</v>
      </c>
      <c r="M1411" s="30"/>
      <c r="N1411" s="30"/>
      <c r="O1411" s="30"/>
      <c r="P1411" s="30"/>
    </row>
    <row r="1412" spans="1:16" s="1" customFormat="1">
      <c r="A1412" s="28"/>
      <c r="B1412" s="39" t="s">
        <v>45</v>
      </c>
      <c r="C1412" s="24">
        <f t="shared" si="560"/>
        <v>0</v>
      </c>
      <c r="D1412" s="30"/>
      <c r="E1412" s="30"/>
      <c r="F1412" s="30"/>
      <c r="G1412" s="30"/>
      <c r="H1412" s="31"/>
      <c r="I1412" s="31"/>
      <c r="J1412" s="31"/>
      <c r="K1412" s="31"/>
      <c r="L1412" s="24">
        <f t="shared" si="561"/>
        <v>0</v>
      </c>
      <c r="M1412" s="30"/>
      <c r="N1412" s="30"/>
      <c r="O1412" s="30"/>
      <c r="P1412" s="30"/>
    </row>
    <row r="1413" spans="1:16" s="1" customFormat="1" ht="30">
      <c r="A1413" s="28"/>
      <c r="B1413" s="39" t="s">
        <v>46</v>
      </c>
      <c r="C1413" s="24">
        <f t="shared" si="560"/>
        <v>0</v>
      </c>
      <c r="D1413" s="30"/>
      <c r="E1413" s="30"/>
      <c r="F1413" s="30"/>
      <c r="G1413" s="30"/>
      <c r="H1413" s="31"/>
      <c r="I1413" s="31"/>
      <c r="J1413" s="31"/>
      <c r="K1413" s="31"/>
      <c r="L1413" s="24">
        <f t="shared" si="561"/>
        <v>0</v>
      </c>
      <c r="M1413" s="30"/>
      <c r="N1413" s="30"/>
      <c r="O1413" s="30"/>
      <c r="P1413" s="30"/>
    </row>
    <row r="1414" spans="1:16" s="1" customFormat="1">
      <c r="A1414" s="28"/>
      <c r="B1414" s="39" t="s">
        <v>47</v>
      </c>
      <c r="C1414" s="24">
        <f t="shared" si="560"/>
        <v>115</v>
      </c>
      <c r="D1414" s="30">
        <f>80000+1+66</f>
        <v>80067</v>
      </c>
      <c r="E1414" s="30">
        <v>115</v>
      </c>
      <c r="F1414" s="30"/>
      <c r="G1414" s="30"/>
      <c r="H1414" s="31"/>
      <c r="I1414" s="31"/>
      <c r="J1414" s="31"/>
      <c r="K1414" s="31"/>
      <c r="L1414" s="24">
        <f t="shared" si="561"/>
        <v>0</v>
      </c>
      <c r="M1414" s="30">
        <f>80000+1+66</f>
        <v>80067</v>
      </c>
      <c r="N1414" s="30"/>
      <c r="O1414" s="30"/>
      <c r="P1414" s="30"/>
    </row>
    <row r="1415" spans="1:16" s="1" customFormat="1" ht="36.75" customHeight="1">
      <c r="A1415" s="211" t="s">
        <v>3</v>
      </c>
      <c r="B1415" s="213" t="s">
        <v>4</v>
      </c>
      <c r="C1415" s="213" t="s">
        <v>5</v>
      </c>
      <c r="D1415" s="10" t="s">
        <v>6</v>
      </c>
      <c r="E1415" s="215" t="s">
        <v>7</v>
      </c>
      <c r="F1415" s="216"/>
      <c r="G1415" s="217"/>
      <c r="H1415" s="218" t="s">
        <v>8</v>
      </c>
      <c r="I1415" s="218"/>
      <c r="J1415" s="218"/>
      <c r="K1415" s="11"/>
      <c r="L1415" s="219" t="s">
        <v>9</v>
      </c>
      <c r="M1415" s="12" t="s">
        <v>6</v>
      </c>
      <c r="N1415" s="208" t="s">
        <v>10</v>
      </c>
      <c r="O1415" s="209"/>
      <c r="P1415" s="210"/>
    </row>
    <row r="1416" spans="1:16" s="1" customFormat="1" ht="47.25" customHeight="1">
      <c r="A1416" s="212"/>
      <c r="B1416" s="214"/>
      <c r="C1416" s="214"/>
      <c r="D1416" s="13" t="s">
        <v>11</v>
      </c>
      <c r="E1416" s="13" t="s">
        <v>12</v>
      </c>
      <c r="F1416" s="13" t="s">
        <v>13</v>
      </c>
      <c r="G1416" s="13" t="s">
        <v>14</v>
      </c>
      <c r="H1416" s="14" t="s">
        <v>15</v>
      </c>
      <c r="I1416" s="14" t="s">
        <v>16</v>
      </c>
      <c r="J1416" s="14" t="s">
        <v>17</v>
      </c>
      <c r="K1416" s="14" t="s">
        <v>18</v>
      </c>
      <c r="L1416" s="220"/>
      <c r="M1416" s="15" t="s">
        <v>11</v>
      </c>
      <c r="N1416" s="15" t="s">
        <v>12</v>
      </c>
      <c r="O1416" s="15" t="s">
        <v>13</v>
      </c>
      <c r="P1416" s="15" t="s">
        <v>14</v>
      </c>
    </row>
    <row r="1417" spans="1:16" s="1" customFormat="1">
      <c r="A1417" s="90">
        <v>1</v>
      </c>
      <c r="B1417" s="91" t="s">
        <v>95</v>
      </c>
      <c r="C1417" s="92">
        <f t="shared" ref="C1417:G1417" si="562">C1418+C1419+C1420+C1421+C1422+C1423+C1424+C1425+C1430+C1431+C1432+C1433+C1434+C1435+C1436+C1437</f>
        <v>3861332.1599999997</v>
      </c>
      <c r="D1417" s="92">
        <f t="shared" si="562"/>
        <v>3156236.4800000004</v>
      </c>
      <c r="E1417" s="92">
        <f t="shared" si="562"/>
        <v>3042552.3</v>
      </c>
      <c r="F1417" s="92">
        <f t="shared" si="562"/>
        <v>427683.45</v>
      </c>
      <c r="G1417" s="92">
        <f t="shared" si="562"/>
        <v>391096.41</v>
      </c>
      <c r="H1417" s="93"/>
      <c r="I1417" s="94"/>
      <c r="J1417" s="94"/>
      <c r="K1417" s="84"/>
      <c r="L1417" s="92">
        <f t="shared" ref="L1417:P1417" si="563">L1418+L1419+L1420+L1421+L1422+L1423+L1424+L1425+L1430+L1431+L1432+L1433+L1434+L1435+L1436+L1437</f>
        <v>0</v>
      </c>
      <c r="M1417" s="92">
        <f t="shared" si="563"/>
        <v>3156236.4800000004</v>
      </c>
      <c r="N1417" s="92">
        <f t="shared" si="563"/>
        <v>0</v>
      </c>
      <c r="O1417" s="92">
        <f t="shared" si="563"/>
        <v>0</v>
      </c>
      <c r="P1417" s="92">
        <f t="shared" si="563"/>
        <v>0</v>
      </c>
    </row>
    <row r="1418" spans="1:16" s="1" customFormat="1">
      <c r="A1418" s="22"/>
      <c r="B1418" s="23" t="s">
        <v>20</v>
      </c>
      <c r="C1418" s="24">
        <f t="shared" ref="C1418:C1424" si="564">E1418+F1418+G1418</f>
        <v>391096.41</v>
      </c>
      <c r="D1418" s="25"/>
      <c r="E1418" s="25"/>
      <c r="F1418" s="25"/>
      <c r="G1418" s="25">
        <v>391096.41</v>
      </c>
      <c r="H1418" s="60"/>
      <c r="I1418" s="61"/>
      <c r="J1418" s="61"/>
      <c r="K1418" s="27"/>
      <c r="L1418" s="24">
        <f t="shared" ref="L1418:L1424" si="565">N1418+O1418+P1418</f>
        <v>0</v>
      </c>
      <c r="M1418" s="25"/>
      <c r="N1418" s="25"/>
      <c r="O1418" s="25"/>
      <c r="P1418" s="25"/>
    </row>
    <row r="1419" spans="1:16" s="1" customFormat="1">
      <c r="A1419" s="28"/>
      <c r="B1419" s="29" t="s">
        <v>21</v>
      </c>
      <c r="C1419" s="24">
        <f t="shared" si="564"/>
        <v>429031.24</v>
      </c>
      <c r="D1419" s="30">
        <f>40219.37+239329.19</f>
        <v>279548.56</v>
      </c>
      <c r="E1419" s="30">
        <v>429031.24</v>
      </c>
      <c r="F1419" s="30"/>
      <c r="G1419" s="30"/>
      <c r="H1419" s="31"/>
      <c r="I1419" s="31"/>
      <c r="J1419" s="31"/>
      <c r="K1419" s="31"/>
      <c r="L1419" s="24">
        <f t="shared" si="565"/>
        <v>0</v>
      </c>
      <c r="M1419" s="30">
        <f>40219.37+239329.19</f>
        <v>279548.56</v>
      </c>
      <c r="N1419" s="30"/>
      <c r="O1419" s="30"/>
      <c r="P1419" s="30"/>
    </row>
    <row r="1420" spans="1:16" s="1" customFormat="1">
      <c r="A1420" s="28"/>
      <c r="B1420" s="32" t="s">
        <v>22</v>
      </c>
      <c r="C1420" s="24">
        <f t="shared" si="564"/>
        <v>0</v>
      </c>
      <c r="D1420" s="30"/>
      <c r="E1420" s="30"/>
      <c r="F1420" s="30"/>
      <c r="G1420" s="30"/>
      <c r="H1420" s="31"/>
      <c r="I1420" s="31"/>
      <c r="J1420" s="31"/>
      <c r="K1420" s="31"/>
      <c r="L1420" s="24">
        <f t="shared" si="565"/>
        <v>0</v>
      </c>
      <c r="M1420" s="30"/>
      <c r="N1420" s="30"/>
      <c r="O1420" s="30"/>
      <c r="P1420" s="30"/>
    </row>
    <row r="1421" spans="1:16" s="1" customFormat="1">
      <c r="A1421" s="28"/>
      <c r="B1421" s="32" t="s">
        <v>23</v>
      </c>
      <c r="C1421" s="24">
        <f t="shared" si="564"/>
        <v>527807.06999999995</v>
      </c>
      <c r="D1421" s="30">
        <v>26251</v>
      </c>
      <c r="E1421" s="30">
        <v>527807.06999999995</v>
      </c>
      <c r="F1421" s="30"/>
      <c r="G1421" s="30"/>
      <c r="H1421" s="31"/>
      <c r="I1421" s="31"/>
      <c r="J1421" s="31"/>
      <c r="K1421" s="31"/>
      <c r="L1421" s="24">
        <f t="shared" si="565"/>
        <v>0</v>
      </c>
      <c r="M1421" s="30">
        <v>26251</v>
      </c>
      <c r="N1421" s="30"/>
      <c r="O1421" s="30"/>
      <c r="P1421" s="30"/>
    </row>
    <row r="1422" spans="1:16" s="1" customFormat="1">
      <c r="A1422" s="28"/>
      <c r="B1422" s="29" t="s">
        <v>24</v>
      </c>
      <c r="C1422" s="24">
        <f t="shared" si="564"/>
        <v>359228.60000000003</v>
      </c>
      <c r="D1422" s="30">
        <f>209206.03+12139.31</f>
        <v>221345.34</v>
      </c>
      <c r="E1422" s="30">
        <v>41325.15</v>
      </c>
      <c r="F1422" s="30">
        <f>2328.94+59388.54+256185.97</f>
        <v>317903.45</v>
      </c>
      <c r="G1422" s="30"/>
      <c r="H1422" s="31"/>
      <c r="I1422" s="31"/>
      <c r="J1422" s="31"/>
      <c r="K1422" s="31"/>
      <c r="L1422" s="24">
        <f t="shared" si="565"/>
        <v>0</v>
      </c>
      <c r="M1422" s="30">
        <f>209206.03+12139.31</f>
        <v>221345.34</v>
      </c>
      <c r="N1422" s="30"/>
      <c r="O1422" s="30"/>
      <c r="P1422" s="30"/>
    </row>
    <row r="1423" spans="1:16" s="1" customFormat="1">
      <c r="A1423" s="28"/>
      <c r="B1423" s="34" t="s">
        <v>25</v>
      </c>
      <c r="C1423" s="24">
        <f t="shared" si="564"/>
        <v>0</v>
      </c>
      <c r="D1423" s="87">
        <f>47700.67+78350.46</f>
        <v>126051.13</v>
      </c>
      <c r="E1423" s="30"/>
      <c r="F1423" s="30"/>
      <c r="G1423" s="30"/>
      <c r="H1423" s="31"/>
      <c r="I1423" s="31"/>
      <c r="J1423" s="31"/>
      <c r="K1423" s="31"/>
      <c r="L1423" s="24">
        <f t="shared" si="565"/>
        <v>0</v>
      </c>
      <c r="M1423" s="87">
        <f>47700.67+78350.46</f>
        <v>126051.13</v>
      </c>
      <c r="N1423" s="30"/>
      <c r="O1423" s="30"/>
      <c r="P1423" s="30"/>
    </row>
    <row r="1424" spans="1:16" s="1" customFormat="1">
      <c r="A1424" s="28"/>
      <c r="B1424" s="32" t="s">
        <v>26</v>
      </c>
      <c r="C1424" s="24">
        <f t="shared" si="564"/>
        <v>11468.9</v>
      </c>
      <c r="D1424" s="30"/>
      <c r="E1424" s="30">
        <v>11468.9</v>
      </c>
      <c r="F1424" s="30"/>
      <c r="G1424" s="30"/>
      <c r="H1424" s="31"/>
      <c r="I1424" s="31"/>
      <c r="J1424" s="31"/>
      <c r="K1424" s="31"/>
      <c r="L1424" s="24">
        <f t="shared" si="565"/>
        <v>0</v>
      </c>
      <c r="M1424" s="30"/>
      <c r="N1424" s="30"/>
      <c r="O1424" s="30"/>
      <c r="P1424" s="30"/>
    </row>
    <row r="1425" spans="1:16" s="1" customFormat="1" ht="30">
      <c r="A1425" s="28"/>
      <c r="B1425" s="35" t="s">
        <v>27</v>
      </c>
      <c r="C1425" s="36">
        <f t="shared" ref="C1425:G1425" si="566">SUM(C1426:C1429)</f>
        <v>1267434.83</v>
      </c>
      <c r="D1425" s="36">
        <f t="shared" si="566"/>
        <v>303926.23</v>
      </c>
      <c r="E1425" s="36">
        <f t="shared" si="566"/>
        <v>1175634.83</v>
      </c>
      <c r="F1425" s="36">
        <f t="shared" si="566"/>
        <v>91800</v>
      </c>
      <c r="G1425" s="36">
        <f t="shared" si="566"/>
        <v>0</v>
      </c>
      <c r="H1425" s="31"/>
      <c r="I1425" s="31"/>
      <c r="J1425" s="31"/>
      <c r="K1425" s="31"/>
      <c r="L1425" s="36">
        <f t="shared" ref="L1425:P1425" si="567">SUM(L1426:L1429)</f>
        <v>0</v>
      </c>
      <c r="M1425" s="36">
        <f t="shared" si="567"/>
        <v>303926.23</v>
      </c>
      <c r="N1425" s="36">
        <f t="shared" si="567"/>
        <v>0</v>
      </c>
      <c r="O1425" s="36">
        <f t="shared" si="567"/>
        <v>0</v>
      </c>
      <c r="P1425" s="36">
        <f t="shared" si="567"/>
        <v>0</v>
      </c>
    </row>
    <row r="1426" spans="1:16" s="1" customFormat="1">
      <c r="A1426" s="28"/>
      <c r="B1426" s="38" t="s">
        <v>28</v>
      </c>
      <c r="C1426" s="24">
        <f t="shared" ref="C1426:C1436" si="568">E1426+F1426+G1426</f>
        <v>1110196.8400000001</v>
      </c>
      <c r="D1426" s="30"/>
      <c r="E1426" s="30">
        <v>1110196.8400000001</v>
      </c>
      <c r="F1426" s="30"/>
      <c r="G1426" s="30"/>
      <c r="H1426" s="31"/>
      <c r="I1426" s="31"/>
      <c r="J1426" s="31"/>
      <c r="K1426" s="31"/>
      <c r="L1426" s="24">
        <f t="shared" ref="L1426:L1436" si="569">N1426+O1426+P1426</f>
        <v>0</v>
      </c>
      <c r="M1426" s="30"/>
      <c r="N1426" s="30"/>
      <c r="O1426" s="30"/>
      <c r="P1426" s="30"/>
    </row>
    <row r="1427" spans="1:16" s="1" customFormat="1">
      <c r="A1427" s="28"/>
      <c r="B1427" s="38" t="s">
        <v>29</v>
      </c>
      <c r="C1427" s="24">
        <f t="shared" si="568"/>
        <v>0</v>
      </c>
      <c r="D1427" s="30">
        <v>124412.4</v>
      </c>
      <c r="E1427" s="30"/>
      <c r="F1427" s="30"/>
      <c r="G1427" s="30"/>
      <c r="H1427" s="31"/>
      <c r="I1427" s="31"/>
      <c r="J1427" s="31"/>
      <c r="K1427" s="31"/>
      <c r="L1427" s="24">
        <f t="shared" si="569"/>
        <v>0</v>
      </c>
      <c r="M1427" s="30">
        <v>124412.4</v>
      </c>
      <c r="N1427" s="30"/>
      <c r="O1427" s="30"/>
      <c r="P1427" s="30"/>
    </row>
    <row r="1428" spans="1:16" s="1" customFormat="1">
      <c r="A1428" s="28"/>
      <c r="B1428" s="38" t="s">
        <v>30</v>
      </c>
      <c r="C1428" s="24">
        <f t="shared" si="568"/>
        <v>157237.99</v>
      </c>
      <c r="D1428" s="30">
        <v>179513.83</v>
      </c>
      <c r="E1428" s="30">
        <v>65437.99</v>
      </c>
      <c r="F1428" s="30">
        <v>91800</v>
      </c>
      <c r="G1428" s="30"/>
      <c r="H1428" s="31"/>
      <c r="I1428" s="31"/>
      <c r="J1428" s="31"/>
      <c r="K1428" s="31"/>
      <c r="L1428" s="24">
        <f t="shared" si="569"/>
        <v>0</v>
      </c>
      <c r="M1428" s="30">
        <v>179513.83</v>
      </c>
      <c r="N1428" s="30"/>
      <c r="O1428" s="30"/>
      <c r="P1428" s="30"/>
    </row>
    <row r="1429" spans="1:16" s="1" customFormat="1">
      <c r="A1429" s="28"/>
      <c r="B1429" s="38" t="s">
        <v>31</v>
      </c>
      <c r="C1429" s="24">
        <f t="shared" si="568"/>
        <v>0</v>
      </c>
      <c r="D1429" s="30"/>
      <c r="E1429" s="30"/>
      <c r="F1429" s="30"/>
      <c r="G1429" s="30"/>
      <c r="H1429" s="31"/>
      <c r="I1429" s="31"/>
      <c r="J1429" s="31"/>
      <c r="K1429" s="31"/>
      <c r="L1429" s="24">
        <f t="shared" si="569"/>
        <v>0</v>
      </c>
      <c r="M1429" s="30"/>
      <c r="N1429" s="30"/>
      <c r="O1429" s="30"/>
      <c r="P1429" s="30"/>
    </row>
    <row r="1430" spans="1:16" s="1" customFormat="1" ht="30">
      <c r="A1430" s="28"/>
      <c r="B1430" s="39" t="s">
        <v>32</v>
      </c>
      <c r="C1430" s="24">
        <f t="shared" si="568"/>
        <v>0</v>
      </c>
      <c r="D1430" s="30"/>
      <c r="E1430" s="30"/>
      <c r="F1430" s="30"/>
      <c r="G1430" s="30"/>
      <c r="H1430" s="31"/>
      <c r="I1430" s="31"/>
      <c r="J1430" s="31"/>
      <c r="K1430" s="31"/>
      <c r="L1430" s="24">
        <f t="shared" si="569"/>
        <v>0</v>
      </c>
      <c r="M1430" s="30"/>
      <c r="N1430" s="30"/>
      <c r="O1430" s="30"/>
      <c r="P1430" s="30"/>
    </row>
    <row r="1431" spans="1:16" s="1" customFormat="1" ht="30">
      <c r="A1431" s="28"/>
      <c r="B1431" s="39" t="s">
        <v>33</v>
      </c>
      <c r="C1431" s="24">
        <f t="shared" si="568"/>
        <v>250604.86</v>
      </c>
      <c r="D1431" s="30"/>
      <c r="E1431" s="30">
        <v>250604.86</v>
      </c>
      <c r="F1431" s="30"/>
      <c r="G1431" s="30"/>
      <c r="H1431" s="31"/>
      <c r="I1431" s="31"/>
      <c r="J1431" s="31"/>
      <c r="K1431" s="31"/>
      <c r="L1431" s="24">
        <f t="shared" si="569"/>
        <v>0</v>
      </c>
      <c r="M1431" s="30"/>
      <c r="N1431" s="30"/>
      <c r="O1431" s="30"/>
      <c r="P1431" s="30"/>
    </row>
    <row r="1432" spans="1:16" s="1" customFormat="1" ht="30">
      <c r="A1432" s="28"/>
      <c r="B1432" s="40" t="s">
        <v>34</v>
      </c>
      <c r="C1432" s="24">
        <f t="shared" si="568"/>
        <v>35288</v>
      </c>
      <c r="D1432" s="30"/>
      <c r="E1432" s="30">
        <v>35288</v>
      </c>
      <c r="F1432" s="30"/>
      <c r="G1432" s="30"/>
      <c r="H1432" s="31"/>
      <c r="I1432" s="31"/>
      <c r="J1432" s="31"/>
      <c r="K1432" s="31"/>
      <c r="L1432" s="24">
        <f t="shared" si="569"/>
        <v>0</v>
      </c>
      <c r="M1432" s="30"/>
      <c r="N1432" s="30"/>
      <c r="O1432" s="30"/>
      <c r="P1432" s="30"/>
    </row>
    <row r="1433" spans="1:16" s="1" customFormat="1">
      <c r="A1433" s="28"/>
      <c r="B1433" s="40" t="s">
        <v>35</v>
      </c>
      <c r="C1433" s="24">
        <f t="shared" si="568"/>
        <v>301603.73</v>
      </c>
      <c r="D1433" s="30">
        <f>57200+40000+23750+74994.9+37256+64095.16+3762.55</f>
        <v>301058.61</v>
      </c>
      <c r="E1433" s="30">
        <v>301603.73</v>
      </c>
      <c r="F1433" s="30"/>
      <c r="G1433" s="30"/>
      <c r="H1433" s="31"/>
      <c r="I1433" s="31"/>
      <c r="J1433" s="31"/>
      <c r="K1433" s="31"/>
      <c r="L1433" s="24">
        <f t="shared" si="569"/>
        <v>0</v>
      </c>
      <c r="M1433" s="30">
        <f>57200+40000+23750+74994.9+37256+64095.16+3762.55</f>
        <v>301058.61</v>
      </c>
      <c r="N1433" s="30"/>
      <c r="O1433" s="30"/>
      <c r="P1433" s="30"/>
    </row>
    <row r="1434" spans="1:16" s="1" customFormat="1" ht="30">
      <c r="A1434" s="28"/>
      <c r="B1434" s="41" t="s">
        <v>36</v>
      </c>
      <c r="C1434" s="24">
        <f t="shared" si="568"/>
        <v>0</v>
      </c>
      <c r="D1434" s="30"/>
      <c r="E1434" s="30"/>
      <c r="F1434" s="30"/>
      <c r="G1434" s="30"/>
      <c r="H1434" s="31"/>
      <c r="I1434" s="31"/>
      <c r="J1434" s="31"/>
      <c r="K1434" s="31"/>
      <c r="L1434" s="24">
        <f t="shared" si="569"/>
        <v>0</v>
      </c>
      <c r="M1434" s="30"/>
      <c r="N1434" s="30"/>
      <c r="O1434" s="30"/>
      <c r="P1434" s="30"/>
    </row>
    <row r="1435" spans="1:16" s="1" customFormat="1">
      <c r="A1435" s="28"/>
      <c r="B1435" s="42" t="s">
        <v>37</v>
      </c>
      <c r="C1435" s="24">
        <f t="shared" si="568"/>
        <v>243939.52</v>
      </c>
      <c r="D1435" s="30"/>
      <c r="E1435" s="30">
        <v>243939.52</v>
      </c>
      <c r="F1435" s="30"/>
      <c r="G1435" s="30"/>
      <c r="H1435" s="31"/>
      <c r="I1435" s="31"/>
      <c r="J1435" s="31"/>
      <c r="K1435" s="31"/>
      <c r="L1435" s="24">
        <f t="shared" si="569"/>
        <v>0</v>
      </c>
      <c r="M1435" s="30"/>
      <c r="N1435" s="30"/>
      <c r="O1435" s="30"/>
      <c r="P1435" s="30"/>
    </row>
    <row r="1436" spans="1:16" s="1" customFormat="1" ht="30">
      <c r="A1436" s="28"/>
      <c r="B1436" s="42" t="s">
        <v>38</v>
      </c>
      <c r="C1436" s="24">
        <f t="shared" si="568"/>
        <v>17980</v>
      </c>
      <c r="D1436" s="30">
        <f>189160+378331.8+99250+3800+5494+70000+99900+11728+47069+16800+59748.3+3825+10980+10943+50014+99653+23629.3+200000+284850</f>
        <v>1665175.4000000001</v>
      </c>
      <c r="E1436" s="30"/>
      <c r="F1436" s="30">
        <v>17980</v>
      </c>
      <c r="G1436" s="30"/>
      <c r="H1436" s="31"/>
      <c r="I1436" s="31"/>
      <c r="J1436" s="31"/>
      <c r="K1436" s="31"/>
      <c r="L1436" s="24">
        <f t="shared" si="569"/>
        <v>0</v>
      </c>
      <c r="M1436" s="30">
        <f>189160+378331.8+99250+3800+5494+70000+99900+11728+47069+16800+59748.3+3825+10980+10943+50014+99653+23629.3+200000+284850</f>
        <v>1665175.4000000001</v>
      </c>
      <c r="N1436" s="30"/>
      <c r="O1436" s="30"/>
      <c r="P1436" s="30"/>
    </row>
    <row r="1437" spans="1:16" s="1" customFormat="1" ht="30">
      <c r="A1437" s="28"/>
      <c r="B1437" s="43" t="s">
        <v>39</v>
      </c>
      <c r="C1437" s="36">
        <f t="shared" ref="C1437:G1437" si="570">SUM(C1438:C1444)</f>
        <v>25849</v>
      </c>
      <c r="D1437" s="36">
        <f t="shared" si="570"/>
        <v>232880.21</v>
      </c>
      <c r="E1437" s="36">
        <f t="shared" si="570"/>
        <v>25849</v>
      </c>
      <c r="F1437" s="36">
        <f t="shared" si="570"/>
        <v>0</v>
      </c>
      <c r="G1437" s="36">
        <f t="shared" si="570"/>
        <v>0</v>
      </c>
      <c r="H1437" s="31"/>
      <c r="I1437" s="31"/>
      <c r="J1437" s="31"/>
      <c r="K1437" s="31"/>
      <c r="L1437" s="36">
        <f t="shared" ref="L1437:P1437" si="571">SUM(L1438:L1444)</f>
        <v>0</v>
      </c>
      <c r="M1437" s="36">
        <f t="shared" si="571"/>
        <v>232880.21</v>
      </c>
      <c r="N1437" s="36">
        <f t="shared" si="571"/>
        <v>0</v>
      </c>
      <c r="O1437" s="36">
        <f t="shared" si="571"/>
        <v>0</v>
      </c>
      <c r="P1437" s="36">
        <f t="shared" si="571"/>
        <v>0</v>
      </c>
    </row>
    <row r="1438" spans="1:16" s="1" customFormat="1" ht="30">
      <c r="A1438" s="28" t="s">
        <v>40</v>
      </c>
      <c r="B1438" s="39" t="s">
        <v>41</v>
      </c>
      <c r="C1438" s="24">
        <f t="shared" ref="C1438:C1444" si="572">E1438+F1438+G1438</f>
        <v>0</v>
      </c>
      <c r="D1438" s="30">
        <f>37438.37+8660+14862.6+11290.54+14869</f>
        <v>87120.510000000009</v>
      </c>
      <c r="E1438" s="30"/>
      <c r="F1438" s="30"/>
      <c r="G1438" s="30"/>
      <c r="H1438" s="31"/>
      <c r="I1438" s="31"/>
      <c r="J1438" s="31"/>
      <c r="K1438" s="31"/>
      <c r="L1438" s="24">
        <f t="shared" ref="L1438:L1444" si="573">N1438+O1438+P1438</f>
        <v>0</v>
      </c>
      <c r="M1438" s="30">
        <f>37438.37+8660+14862.6+11290.54+14869</f>
        <v>87120.510000000009</v>
      </c>
      <c r="N1438" s="30"/>
      <c r="O1438" s="30"/>
      <c r="P1438" s="30"/>
    </row>
    <row r="1439" spans="1:16" s="1" customFormat="1">
      <c r="A1439" s="28"/>
      <c r="B1439" s="39" t="s">
        <v>42</v>
      </c>
      <c r="C1439" s="24">
        <f t="shared" si="572"/>
        <v>0</v>
      </c>
      <c r="D1439" s="30">
        <f>5000</f>
        <v>5000</v>
      </c>
      <c r="E1439" s="30"/>
      <c r="F1439" s="30"/>
      <c r="G1439" s="30"/>
      <c r="H1439" s="31"/>
      <c r="I1439" s="31"/>
      <c r="J1439" s="31"/>
      <c r="K1439" s="31"/>
      <c r="L1439" s="24">
        <f t="shared" si="573"/>
        <v>0</v>
      </c>
      <c r="M1439" s="30">
        <f>5000</f>
        <v>5000</v>
      </c>
      <c r="N1439" s="30"/>
      <c r="O1439" s="30"/>
      <c r="P1439" s="30"/>
    </row>
    <row r="1440" spans="1:16" s="1" customFormat="1">
      <c r="A1440" s="28"/>
      <c r="B1440" s="39" t="s">
        <v>43</v>
      </c>
      <c r="C1440" s="24">
        <f t="shared" si="572"/>
        <v>0</v>
      </c>
      <c r="D1440" s="30">
        <v>200</v>
      </c>
      <c r="E1440" s="30"/>
      <c r="F1440" s="30"/>
      <c r="G1440" s="30"/>
      <c r="H1440" s="31"/>
      <c r="I1440" s="31"/>
      <c r="J1440" s="31"/>
      <c r="K1440" s="31"/>
      <c r="L1440" s="24">
        <f t="shared" si="573"/>
        <v>0</v>
      </c>
      <c r="M1440" s="30">
        <v>200</v>
      </c>
      <c r="N1440" s="30"/>
      <c r="O1440" s="30"/>
      <c r="P1440" s="30"/>
    </row>
    <row r="1441" spans="1:16" s="1" customFormat="1">
      <c r="A1441" s="28"/>
      <c r="B1441" s="39" t="s">
        <v>44</v>
      </c>
      <c r="C1441" s="24">
        <f t="shared" si="572"/>
        <v>0</v>
      </c>
      <c r="D1441" s="30"/>
      <c r="E1441" s="30"/>
      <c r="F1441" s="30"/>
      <c r="G1441" s="30"/>
      <c r="H1441" s="31"/>
      <c r="I1441" s="31"/>
      <c r="J1441" s="31"/>
      <c r="K1441" s="31"/>
      <c r="L1441" s="24">
        <f t="shared" si="573"/>
        <v>0</v>
      </c>
      <c r="M1441" s="30"/>
      <c r="N1441" s="30"/>
      <c r="O1441" s="30"/>
      <c r="P1441" s="30"/>
    </row>
    <row r="1442" spans="1:16" s="1" customFormat="1">
      <c r="A1442" s="28"/>
      <c r="B1442" s="39" t="s">
        <v>45</v>
      </c>
      <c r="C1442" s="24">
        <f t="shared" si="572"/>
        <v>0</v>
      </c>
      <c r="D1442" s="30">
        <v>46714.55</v>
      </c>
      <c r="E1442" s="30"/>
      <c r="F1442" s="30"/>
      <c r="G1442" s="30"/>
      <c r="H1442" s="31"/>
      <c r="I1442" s="31"/>
      <c r="J1442" s="31"/>
      <c r="K1442" s="31"/>
      <c r="L1442" s="24">
        <f t="shared" si="573"/>
        <v>0</v>
      </c>
      <c r="M1442" s="30">
        <v>46714.55</v>
      </c>
      <c r="N1442" s="30"/>
      <c r="O1442" s="30"/>
      <c r="P1442" s="30"/>
    </row>
    <row r="1443" spans="1:16" s="1" customFormat="1" ht="30">
      <c r="A1443" s="28"/>
      <c r="B1443" s="39" t="s">
        <v>46</v>
      </c>
      <c r="C1443" s="24">
        <f t="shared" si="572"/>
        <v>0</v>
      </c>
      <c r="D1443" s="30">
        <v>17500</v>
      </c>
      <c r="E1443" s="30"/>
      <c r="F1443" s="30"/>
      <c r="G1443" s="30"/>
      <c r="H1443" s="31"/>
      <c r="I1443" s="31"/>
      <c r="J1443" s="31"/>
      <c r="K1443" s="31"/>
      <c r="L1443" s="24">
        <f t="shared" si="573"/>
        <v>0</v>
      </c>
      <c r="M1443" s="30">
        <v>17500</v>
      </c>
      <c r="N1443" s="30"/>
      <c r="O1443" s="30"/>
      <c r="P1443" s="30"/>
    </row>
    <row r="1444" spans="1:16" s="1" customFormat="1">
      <c r="A1444" s="28"/>
      <c r="B1444" s="39" t="s">
        <v>47</v>
      </c>
      <c r="C1444" s="24">
        <f t="shared" si="572"/>
        <v>25849</v>
      </c>
      <c r="D1444" s="30">
        <f>5401+3898.25+53000+14045.9</f>
        <v>76345.149999999994</v>
      </c>
      <c r="E1444" s="30">
        <v>25849</v>
      </c>
      <c r="F1444" s="30"/>
      <c r="G1444" s="30"/>
      <c r="H1444" s="31"/>
      <c r="I1444" s="31"/>
      <c r="J1444" s="31"/>
      <c r="K1444" s="31"/>
      <c r="L1444" s="24">
        <f t="shared" si="573"/>
        <v>0</v>
      </c>
      <c r="M1444" s="30">
        <f>5401+3898.25+53000+14045.9</f>
        <v>76345.149999999994</v>
      </c>
      <c r="N1444" s="30"/>
      <c r="O1444" s="30"/>
      <c r="P1444" s="30"/>
    </row>
    <row r="1445" spans="1:16" s="1" customFormat="1" ht="36.75" customHeight="1">
      <c r="A1445" s="211" t="s">
        <v>3</v>
      </c>
      <c r="B1445" s="213" t="s">
        <v>4</v>
      </c>
      <c r="C1445" s="213" t="s">
        <v>5</v>
      </c>
      <c r="D1445" s="10" t="s">
        <v>6</v>
      </c>
      <c r="E1445" s="215" t="s">
        <v>7</v>
      </c>
      <c r="F1445" s="216"/>
      <c r="G1445" s="217"/>
      <c r="H1445" s="218" t="s">
        <v>8</v>
      </c>
      <c r="I1445" s="218"/>
      <c r="J1445" s="218"/>
      <c r="K1445" s="11"/>
      <c r="L1445" s="219" t="s">
        <v>9</v>
      </c>
      <c r="M1445" s="12" t="s">
        <v>6</v>
      </c>
      <c r="N1445" s="208" t="s">
        <v>10</v>
      </c>
      <c r="O1445" s="209"/>
      <c r="P1445" s="210"/>
    </row>
    <row r="1446" spans="1:16" s="1" customFormat="1" ht="47.25" customHeight="1">
      <c r="A1446" s="212"/>
      <c r="B1446" s="214"/>
      <c r="C1446" s="214"/>
      <c r="D1446" s="13" t="s">
        <v>11</v>
      </c>
      <c r="E1446" s="13" t="s">
        <v>12</v>
      </c>
      <c r="F1446" s="13" t="s">
        <v>13</v>
      </c>
      <c r="G1446" s="13" t="s">
        <v>14</v>
      </c>
      <c r="H1446" s="14" t="s">
        <v>15</v>
      </c>
      <c r="I1446" s="14" t="s">
        <v>16</v>
      </c>
      <c r="J1446" s="14" t="s">
        <v>17</v>
      </c>
      <c r="K1446" s="14" t="s">
        <v>18</v>
      </c>
      <c r="L1446" s="220"/>
      <c r="M1446" s="15" t="s">
        <v>11</v>
      </c>
      <c r="N1446" s="15" t="s">
        <v>12</v>
      </c>
      <c r="O1446" s="15" t="s">
        <v>13</v>
      </c>
      <c r="P1446" s="15" t="s">
        <v>14</v>
      </c>
    </row>
    <row r="1447" spans="1:16" s="1" customFormat="1">
      <c r="A1447" s="90">
        <v>1</v>
      </c>
      <c r="B1447" s="91" t="s">
        <v>96</v>
      </c>
      <c r="C1447" s="92">
        <f t="shared" ref="C1447:G1447" si="574">C1448+C1449+C1450+C1451+C1452+C1453+C1454+C1455+C1460+C1461+C1462+C1463+C1464+C1465+C1466+C1467</f>
        <v>829.81</v>
      </c>
      <c r="D1447" s="92">
        <f t="shared" si="574"/>
        <v>299072.15999999997</v>
      </c>
      <c r="E1447" s="92">
        <f t="shared" si="574"/>
        <v>829.81</v>
      </c>
      <c r="F1447" s="92">
        <f t="shared" si="574"/>
        <v>0</v>
      </c>
      <c r="G1447" s="92">
        <f t="shared" si="574"/>
        <v>0</v>
      </c>
      <c r="H1447" s="93"/>
      <c r="I1447" s="94"/>
      <c r="J1447" s="94"/>
      <c r="K1447" s="84"/>
      <c r="L1447" s="92">
        <f t="shared" ref="L1447:P1447" si="575">L1448+L1449+L1450+L1451+L1452+L1453+L1454+L1455+L1460+L1461+L1462+L1463+L1464+L1465+L1466+L1467</f>
        <v>0</v>
      </c>
      <c r="M1447" s="92">
        <f t="shared" si="575"/>
        <v>299072.15999999997</v>
      </c>
      <c r="N1447" s="92">
        <f t="shared" si="575"/>
        <v>0</v>
      </c>
      <c r="O1447" s="92">
        <f t="shared" si="575"/>
        <v>0</v>
      </c>
      <c r="P1447" s="92">
        <f t="shared" si="575"/>
        <v>0</v>
      </c>
    </row>
    <row r="1448" spans="1:16" s="5" customFormat="1">
      <c r="A1448" s="22"/>
      <c r="B1448" s="23" t="s">
        <v>20</v>
      </c>
      <c r="C1448" s="24">
        <f t="shared" ref="C1448:C1454" si="576">E1448+F1448+G1448</f>
        <v>0</v>
      </c>
      <c r="D1448" s="25"/>
      <c r="E1448" s="25"/>
      <c r="F1448" s="25"/>
      <c r="G1448" s="25"/>
      <c r="H1448" s="60"/>
      <c r="I1448" s="61"/>
      <c r="J1448" s="61"/>
      <c r="K1448" s="27"/>
      <c r="L1448" s="24">
        <f t="shared" ref="L1448:L1454" si="577">N1448+O1448+P1448</f>
        <v>0</v>
      </c>
      <c r="M1448" s="25"/>
      <c r="N1448" s="25"/>
      <c r="O1448" s="25"/>
      <c r="P1448" s="25"/>
    </row>
    <row r="1449" spans="1:16" s="1" customFormat="1">
      <c r="A1449" s="96"/>
      <c r="B1449" s="29" t="s">
        <v>21</v>
      </c>
      <c r="C1449" s="24">
        <f t="shared" si="576"/>
        <v>0</v>
      </c>
      <c r="D1449" s="30">
        <f>533</f>
        <v>533</v>
      </c>
      <c r="E1449" s="30"/>
      <c r="F1449" s="30"/>
      <c r="G1449" s="30"/>
      <c r="H1449" s="31"/>
      <c r="I1449" s="31"/>
      <c r="J1449" s="31"/>
      <c r="K1449" s="31"/>
      <c r="L1449" s="24">
        <f t="shared" si="577"/>
        <v>0</v>
      </c>
      <c r="M1449" s="30">
        <f>533</f>
        <v>533</v>
      </c>
      <c r="N1449" s="30"/>
      <c r="O1449" s="30"/>
      <c r="P1449" s="30"/>
    </row>
    <row r="1450" spans="1:16" s="1" customFormat="1">
      <c r="A1450" s="96"/>
      <c r="B1450" s="32" t="s">
        <v>22</v>
      </c>
      <c r="C1450" s="24">
        <f t="shared" si="576"/>
        <v>0</v>
      </c>
      <c r="D1450" s="30"/>
      <c r="E1450" s="30"/>
      <c r="F1450" s="30"/>
      <c r="G1450" s="30"/>
      <c r="H1450" s="31"/>
      <c r="I1450" s="31"/>
      <c r="J1450" s="31"/>
      <c r="K1450" s="31"/>
      <c r="L1450" s="24">
        <f t="shared" si="577"/>
        <v>0</v>
      </c>
      <c r="M1450" s="30"/>
      <c r="N1450" s="30"/>
      <c r="O1450" s="30"/>
      <c r="P1450" s="30"/>
    </row>
    <row r="1451" spans="1:16" s="1" customFormat="1">
      <c r="A1451" s="96"/>
      <c r="B1451" s="32" t="s">
        <v>23</v>
      </c>
      <c r="C1451" s="24">
        <f t="shared" si="576"/>
        <v>0</v>
      </c>
      <c r="D1451" s="30">
        <v>7287</v>
      </c>
      <c r="E1451" s="30"/>
      <c r="F1451" s="30"/>
      <c r="G1451" s="30"/>
      <c r="H1451" s="31"/>
      <c r="I1451" s="31"/>
      <c r="J1451" s="31"/>
      <c r="K1451" s="31"/>
      <c r="L1451" s="24">
        <f t="shared" si="577"/>
        <v>0</v>
      </c>
      <c r="M1451" s="30">
        <v>7287</v>
      </c>
      <c r="N1451" s="30"/>
      <c r="O1451" s="30"/>
      <c r="P1451" s="30"/>
    </row>
    <row r="1452" spans="1:16" s="1" customFormat="1">
      <c r="A1452" s="96"/>
      <c r="B1452" s="29" t="s">
        <v>24</v>
      </c>
      <c r="C1452" s="24">
        <f t="shared" si="576"/>
        <v>0</v>
      </c>
      <c r="D1452" s="30">
        <v>59920.59</v>
      </c>
      <c r="E1452" s="30"/>
      <c r="F1452" s="30"/>
      <c r="G1452" s="30"/>
      <c r="H1452" s="31"/>
      <c r="I1452" s="31"/>
      <c r="J1452" s="31"/>
      <c r="K1452" s="31"/>
      <c r="L1452" s="24">
        <f t="shared" si="577"/>
        <v>0</v>
      </c>
      <c r="M1452" s="30">
        <v>59920.59</v>
      </c>
      <c r="N1452" s="30"/>
      <c r="O1452" s="30"/>
      <c r="P1452" s="30"/>
    </row>
    <row r="1453" spans="1:16" s="1" customFormat="1">
      <c r="A1453" s="96"/>
      <c r="B1453" s="34" t="s">
        <v>25</v>
      </c>
      <c r="C1453" s="24">
        <f t="shared" si="576"/>
        <v>829.81</v>
      </c>
      <c r="D1453" s="30">
        <v>4214.41</v>
      </c>
      <c r="E1453" s="30">
        <v>829.81</v>
      </c>
      <c r="F1453" s="30"/>
      <c r="G1453" s="30"/>
      <c r="H1453" s="31"/>
      <c r="I1453" s="31"/>
      <c r="J1453" s="31"/>
      <c r="K1453" s="31"/>
      <c r="L1453" s="24">
        <f t="shared" si="577"/>
        <v>0</v>
      </c>
      <c r="M1453" s="30">
        <v>4214.41</v>
      </c>
      <c r="N1453" s="30"/>
      <c r="O1453" s="30"/>
      <c r="P1453" s="30"/>
    </row>
    <row r="1454" spans="1:16" s="1" customFormat="1">
      <c r="A1454" s="96"/>
      <c r="B1454" s="32" t="s">
        <v>26</v>
      </c>
      <c r="C1454" s="24">
        <f t="shared" si="576"/>
        <v>0</v>
      </c>
      <c r="D1454" s="30"/>
      <c r="E1454" s="30"/>
      <c r="F1454" s="30"/>
      <c r="G1454" s="30"/>
      <c r="H1454" s="31"/>
      <c r="I1454" s="31"/>
      <c r="J1454" s="31"/>
      <c r="K1454" s="31"/>
      <c r="L1454" s="24">
        <f t="shared" si="577"/>
        <v>0</v>
      </c>
      <c r="M1454" s="30"/>
      <c r="N1454" s="30"/>
      <c r="O1454" s="30"/>
      <c r="P1454" s="30"/>
    </row>
    <row r="1455" spans="1:16" s="1" customFormat="1" ht="30">
      <c r="A1455" s="96"/>
      <c r="B1455" s="35" t="s">
        <v>27</v>
      </c>
      <c r="C1455" s="36">
        <f t="shared" ref="C1455:G1455" si="578">SUM(C1456:C1459)</f>
        <v>0</v>
      </c>
      <c r="D1455" s="36">
        <f t="shared" si="578"/>
        <v>112391.70999999999</v>
      </c>
      <c r="E1455" s="36">
        <f t="shared" si="578"/>
        <v>0</v>
      </c>
      <c r="F1455" s="36">
        <f t="shared" si="578"/>
        <v>0</v>
      </c>
      <c r="G1455" s="36">
        <f t="shared" si="578"/>
        <v>0</v>
      </c>
      <c r="H1455" s="31"/>
      <c r="I1455" s="31"/>
      <c r="J1455" s="31"/>
      <c r="K1455" s="31"/>
      <c r="L1455" s="36">
        <f t="shared" ref="L1455:P1455" si="579">SUM(L1456:L1459)</f>
        <v>0</v>
      </c>
      <c r="M1455" s="36">
        <f t="shared" si="579"/>
        <v>112391.70999999999</v>
      </c>
      <c r="N1455" s="36">
        <f t="shared" si="579"/>
        <v>0</v>
      </c>
      <c r="O1455" s="36">
        <f t="shared" si="579"/>
        <v>0</v>
      </c>
      <c r="P1455" s="36">
        <f t="shared" si="579"/>
        <v>0</v>
      </c>
    </row>
    <row r="1456" spans="1:16" s="1" customFormat="1">
      <c r="A1456" s="96"/>
      <c r="B1456" s="38" t="s">
        <v>28</v>
      </c>
      <c r="C1456" s="24">
        <f t="shared" ref="C1456:C1466" si="580">E1456+F1456+G1456</f>
        <v>0</v>
      </c>
      <c r="D1456" s="30">
        <v>69607.12</v>
      </c>
      <c r="E1456" s="30"/>
      <c r="F1456" s="30"/>
      <c r="G1456" s="30"/>
      <c r="H1456" s="31"/>
      <c r="I1456" s="31"/>
      <c r="J1456" s="31"/>
      <c r="K1456" s="31"/>
      <c r="L1456" s="24">
        <f t="shared" ref="L1456:L1466" si="581">N1456+O1456+P1456</f>
        <v>0</v>
      </c>
      <c r="M1456" s="30">
        <v>69607.12</v>
      </c>
      <c r="N1456" s="30"/>
      <c r="O1456" s="30"/>
      <c r="P1456" s="30"/>
    </row>
    <row r="1457" spans="1:16" s="1" customFormat="1">
      <c r="A1457" s="28"/>
      <c r="B1457" s="38" t="s">
        <v>29</v>
      </c>
      <c r="C1457" s="24">
        <f t="shared" si="580"/>
        <v>0</v>
      </c>
      <c r="D1457" s="30">
        <v>40091</v>
      </c>
      <c r="E1457" s="30"/>
      <c r="F1457" s="30"/>
      <c r="G1457" s="30"/>
      <c r="H1457" s="31"/>
      <c r="I1457" s="31"/>
      <c r="J1457" s="31"/>
      <c r="K1457" s="31"/>
      <c r="L1457" s="24">
        <f t="shared" si="581"/>
        <v>0</v>
      </c>
      <c r="M1457" s="30">
        <v>40091</v>
      </c>
      <c r="N1457" s="30"/>
      <c r="O1457" s="30"/>
      <c r="P1457" s="30"/>
    </row>
    <row r="1458" spans="1:16" s="1" customFormat="1">
      <c r="A1458" s="28"/>
      <c r="B1458" s="38" t="s">
        <v>30</v>
      </c>
      <c r="C1458" s="24">
        <f t="shared" si="580"/>
        <v>0</v>
      </c>
      <c r="D1458" s="30">
        <v>1505.15</v>
      </c>
      <c r="E1458" s="30"/>
      <c r="F1458" s="30"/>
      <c r="G1458" s="30"/>
      <c r="H1458" s="31"/>
      <c r="I1458" s="31"/>
      <c r="J1458" s="31"/>
      <c r="K1458" s="31"/>
      <c r="L1458" s="24">
        <f t="shared" si="581"/>
        <v>0</v>
      </c>
      <c r="M1458" s="30">
        <v>1505.15</v>
      </c>
      <c r="N1458" s="30"/>
      <c r="O1458" s="30"/>
      <c r="P1458" s="30"/>
    </row>
    <row r="1459" spans="1:16" s="1" customFormat="1">
      <c r="A1459" s="28"/>
      <c r="B1459" s="38" t="s">
        <v>31</v>
      </c>
      <c r="C1459" s="24">
        <f t="shared" si="580"/>
        <v>0</v>
      </c>
      <c r="D1459" s="30">
        <v>1188.44</v>
      </c>
      <c r="E1459" s="30"/>
      <c r="F1459" s="30"/>
      <c r="G1459" s="30"/>
      <c r="H1459" s="31"/>
      <c r="I1459" s="31"/>
      <c r="J1459" s="31"/>
      <c r="K1459" s="31"/>
      <c r="L1459" s="24">
        <f t="shared" si="581"/>
        <v>0</v>
      </c>
      <c r="M1459" s="30">
        <v>1188.44</v>
      </c>
      <c r="N1459" s="30"/>
      <c r="O1459" s="30"/>
      <c r="P1459" s="30"/>
    </row>
    <row r="1460" spans="1:16" s="1" customFormat="1" ht="30">
      <c r="A1460" s="28"/>
      <c r="B1460" s="39" t="s">
        <v>32</v>
      </c>
      <c r="C1460" s="24">
        <f t="shared" si="580"/>
        <v>0</v>
      </c>
      <c r="D1460" s="30"/>
      <c r="E1460" s="30"/>
      <c r="F1460" s="30"/>
      <c r="G1460" s="30"/>
      <c r="H1460" s="31"/>
      <c r="I1460" s="31"/>
      <c r="J1460" s="31"/>
      <c r="K1460" s="31"/>
      <c r="L1460" s="24">
        <f t="shared" si="581"/>
        <v>0</v>
      </c>
      <c r="M1460" s="30"/>
      <c r="N1460" s="30"/>
      <c r="O1460" s="30"/>
      <c r="P1460" s="30"/>
    </row>
    <row r="1461" spans="1:16" s="1" customFormat="1" ht="30">
      <c r="A1461" s="28"/>
      <c r="B1461" s="39" t="s">
        <v>33</v>
      </c>
      <c r="C1461" s="24">
        <f t="shared" si="580"/>
        <v>0</v>
      </c>
      <c r="D1461" s="30"/>
      <c r="E1461" s="30"/>
      <c r="F1461" s="30"/>
      <c r="G1461" s="30"/>
      <c r="H1461" s="31"/>
      <c r="I1461" s="31"/>
      <c r="J1461" s="31"/>
      <c r="K1461" s="31"/>
      <c r="L1461" s="24">
        <f t="shared" si="581"/>
        <v>0</v>
      </c>
      <c r="M1461" s="30"/>
      <c r="N1461" s="30"/>
      <c r="O1461" s="30"/>
      <c r="P1461" s="30"/>
    </row>
    <row r="1462" spans="1:16" s="1" customFormat="1" ht="30">
      <c r="A1462" s="28"/>
      <c r="B1462" s="40" t="s">
        <v>34</v>
      </c>
      <c r="C1462" s="24">
        <f t="shared" si="580"/>
        <v>0</v>
      </c>
      <c r="D1462" s="30"/>
      <c r="E1462" s="30"/>
      <c r="F1462" s="30"/>
      <c r="G1462" s="30"/>
      <c r="H1462" s="31"/>
      <c r="I1462" s="31"/>
      <c r="J1462" s="31"/>
      <c r="K1462" s="31"/>
      <c r="L1462" s="24">
        <f t="shared" si="581"/>
        <v>0</v>
      </c>
      <c r="M1462" s="30"/>
      <c r="N1462" s="30"/>
      <c r="O1462" s="30"/>
      <c r="P1462" s="30"/>
    </row>
    <row r="1463" spans="1:16" s="1" customFormat="1">
      <c r="A1463" s="28"/>
      <c r="B1463" s="40" t="s">
        <v>35</v>
      </c>
      <c r="C1463" s="24">
        <f t="shared" si="580"/>
        <v>0</v>
      </c>
      <c r="D1463" s="30"/>
      <c r="E1463" s="30"/>
      <c r="F1463" s="30"/>
      <c r="G1463" s="30"/>
      <c r="H1463" s="31"/>
      <c r="I1463" s="31"/>
      <c r="J1463" s="31"/>
      <c r="K1463" s="31"/>
      <c r="L1463" s="24">
        <f t="shared" si="581"/>
        <v>0</v>
      </c>
      <c r="M1463" s="30"/>
      <c r="N1463" s="30"/>
      <c r="O1463" s="30"/>
      <c r="P1463" s="30"/>
    </row>
    <row r="1464" spans="1:16" s="1" customFormat="1" ht="30">
      <c r="A1464" s="28"/>
      <c r="B1464" s="41" t="s">
        <v>36</v>
      </c>
      <c r="C1464" s="24">
        <f t="shared" si="580"/>
        <v>0</v>
      </c>
      <c r="D1464" s="30"/>
      <c r="E1464" s="30"/>
      <c r="F1464" s="30"/>
      <c r="G1464" s="30"/>
      <c r="H1464" s="31"/>
      <c r="I1464" s="31"/>
      <c r="J1464" s="31"/>
      <c r="K1464" s="31"/>
      <c r="L1464" s="24">
        <f t="shared" si="581"/>
        <v>0</v>
      </c>
      <c r="M1464" s="30"/>
      <c r="N1464" s="30"/>
      <c r="O1464" s="30"/>
      <c r="P1464" s="30"/>
    </row>
    <row r="1465" spans="1:16" s="1" customFormat="1">
      <c r="A1465" s="28"/>
      <c r="B1465" s="42" t="s">
        <v>37</v>
      </c>
      <c r="C1465" s="24">
        <f t="shared" si="580"/>
        <v>0</v>
      </c>
      <c r="D1465" s="30"/>
      <c r="E1465" s="30"/>
      <c r="F1465" s="30"/>
      <c r="G1465" s="30"/>
      <c r="H1465" s="31"/>
      <c r="I1465" s="31"/>
      <c r="J1465" s="31"/>
      <c r="K1465" s="31"/>
      <c r="L1465" s="24">
        <f t="shared" si="581"/>
        <v>0</v>
      </c>
      <c r="M1465" s="30"/>
      <c r="N1465" s="30"/>
      <c r="O1465" s="30"/>
      <c r="P1465" s="30"/>
    </row>
    <row r="1466" spans="1:16" s="1" customFormat="1" ht="30">
      <c r="A1466" s="28"/>
      <c r="B1466" s="42" t="s">
        <v>38</v>
      </c>
      <c r="C1466" s="24">
        <f t="shared" si="580"/>
        <v>0</v>
      </c>
      <c r="D1466" s="30">
        <v>108110</v>
      </c>
      <c r="E1466" s="30"/>
      <c r="F1466" s="30"/>
      <c r="G1466" s="30"/>
      <c r="H1466" s="31"/>
      <c r="I1466" s="31"/>
      <c r="J1466" s="31"/>
      <c r="K1466" s="31"/>
      <c r="L1466" s="24">
        <f t="shared" si="581"/>
        <v>0</v>
      </c>
      <c r="M1466" s="30">
        <v>108110</v>
      </c>
      <c r="N1466" s="30"/>
      <c r="O1466" s="30"/>
      <c r="P1466" s="30"/>
    </row>
    <row r="1467" spans="1:16" s="1" customFormat="1" ht="30">
      <c r="A1467" s="28"/>
      <c r="B1467" s="43" t="s">
        <v>39</v>
      </c>
      <c r="C1467" s="36">
        <f t="shared" ref="C1467:G1467" si="582">SUM(C1468:C1474)</f>
        <v>0</v>
      </c>
      <c r="D1467" s="36">
        <f t="shared" si="582"/>
        <v>6615.45</v>
      </c>
      <c r="E1467" s="36">
        <f t="shared" si="582"/>
        <v>0</v>
      </c>
      <c r="F1467" s="36">
        <f t="shared" si="582"/>
        <v>0</v>
      </c>
      <c r="G1467" s="36">
        <f t="shared" si="582"/>
        <v>0</v>
      </c>
      <c r="H1467" s="31"/>
      <c r="I1467" s="31"/>
      <c r="J1467" s="31"/>
      <c r="K1467" s="31"/>
      <c r="L1467" s="36">
        <f t="shared" ref="L1467:P1467" si="583">SUM(L1468:L1474)</f>
        <v>0</v>
      </c>
      <c r="M1467" s="36">
        <f t="shared" si="583"/>
        <v>6615.45</v>
      </c>
      <c r="N1467" s="36">
        <f t="shared" si="583"/>
        <v>0</v>
      </c>
      <c r="O1467" s="36">
        <f t="shared" si="583"/>
        <v>0</v>
      </c>
      <c r="P1467" s="36">
        <f t="shared" si="583"/>
        <v>0</v>
      </c>
    </row>
    <row r="1468" spans="1:16" s="1" customFormat="1" ht="30">
      <c r="A1468" s="28" t="s">
        <v>40</v>
      </c>
      <c r="B1468" s="39" t="s">
        <v>41</v>
      </c>
      <c r="C1468" s="24">
        <f t="shared" ref="C1468:C1474" si="584">E1468+F1468+G1468</f>
        <v>0</v>
      </c>
      <c r="D1468" s="30"/>
      <c r="E1468" s="30"/>
      <c r="F1468" s="30"/>
      <c r="G1468" s="30"/>
      <c r="H1468" s="31"/>
      <c r="I1468" s="31"/>
      <c r="J1468" s="31"/>
      <c r="K1468" s="31"/>
      <c r="L1468" s="24">
        <f t="shared" ref="L1468:L1474" si="585">N1468+O1468+P1468</f>
        <v>0</v>
      </c>
      <c r="M1468" s="30"/>
      <c r="N1468" s="30"/>
      <c r="O1468" s="30"/>
      <c r="P1468" s="30"/>
    </row>
    <row r="1469" spans="1:16" s="1" customFormat="1">
      <c r="A1469" s="28"/>
      <c r="B1469" s="39" t="s">
        <v>42</v>
      </c>
      <c r="C1469" s="24">
        <f t="shared" si="584"/>
        <v>0</v>
      </c>
      <c r="D1469" s="30">
        <v>6615.45</v>
      </c>
      <c r="E1469" s="30"/>
      <c r="F1469" s="30"/>
      <c r="G1469" s="30"/>
      <c r="H1469" s="31"/>
      <c r="I1469" s="31"/>
      <c r="J1469" s="31"/>
      <c r="K1469" s="31"/>
      <c r="L1469" s="24">
        <f t="shared" si="585"/>
        <v>0</v>
      </c>
      <c r="M1469" s="30">
        <v>6615.45</v>
      </c>
      <c r="N1469" s="30"/>
      <c r="O1469" s="30"/>
      <c r="P1469" s="30"/>
    </row>
    <row r="1470" spans="1:16" s="1" customFormat="1">
      <c r="A1470" s="28"/>
      <c r="B1470" s="39" t="s">
        <v>43</v>
      </c>
      <c r="C1470" s="24">
        <f t="shared" si="584"/>
        <v>0</v>
      </c>
      <c r="D1470" s="30"/>
      <c r="E1470" s="30"/>
      <c r="F1470" s="30"/>
      <c r="G1470" s="30"/>
      <c r="H1470" s="31"/>
      <c r="I1470" s="31"/>
      <c r="J1470" s="31"/>
      <c r="K1470" s="31"/>
      <c r="L1470" s="24">
        <f t="shared" si="585"/>
        <v>0</v>
      </c>
      <c r="M1470" s="30"/>
      <c r="N1470" s="30"/>
      <c r="O1470" s="30"/>
      <c r="P1470" s="30"/>
    </row>
    <row r="1471" spans="1:16" s="1" customFormat="1">
      <c r="A1471" s="28"/>
      <c r="B1471" s="39" t="s">
        <v>44</v>
      </c>
      <c r="C1471" s="24">
        <f t="shared" si="584"/>
        <v>0</v>
      </c>
      <c r="D1471" s="30"/>
      <c r="E1471" s="30"/>
      <c r="F1471" s="30"/>
      <c r="G1471" s="30"/>
      <c r="H1471" s="31"/>
      <c r="I1471" s="31"/>
      <c r="J1471" s="31"/>
      <c r="K1471" s="31"/>
      <c r="L1471" s="24">
        <f t="shared" si="585"/>
        <v>0</v>
      </c>
      <c r="M1471" s="30"/>
      <c r="N1471" s="30"/>
      <c r="O1471" s="30"/>
      <c r="P1471" s="30"/>
    </row>
    <row r="1472" spans="1:16" s="1" customFormat="1">
      <c r="A1472" s="28"/>
      <c r="B1472" s="39" t="s">
        <v>45</v>
      </c>
      <c r="C1472" s="24">
        <f t="shared" si="584"/>
        <v>0</v>
      </c>
      <c r="D1472" s="30"/>
      <c r="E1472" s="30"/>
      <c r="F1472" s="30"/>
      <c r="G1472" s="30"/>
      <c r="H1472" s="31"/>
      <c r="I1472" s="31"/>
      <c r="J1472" s="31"/>
      <c r="K1472" s="31"/>
      <c r="L1472" s="24">
        <f t="shared" si="585"/>
        <v>0</v>
      </c>
      <c r="M1472" s="30"/>
      <c r="N1472" s="30"/>
      <c r="O1472" s="30"/>
      <c r="P1472" s="30"/>
    </row>
    <row r="1473" spans="1:16" s="1" customFormat="1" ht="30">
      <c r="A1473" s="28"/>
      <c r="B1473" s="39" t="s">
        <v>46</v>
      </c>
      <c r="C1473" s="24">
        <f t="shared" si="584"/>
        <v>0</v>
      </c>
      <c r="D1473" s="30"/>
      <c r="E1473" s="30"/>
      <c r="F1473" s="30"/>
      <c r="G1473" s="30"/>
      <c r="H1473" s="31"/>
      <c r="I1473" s="31"/>
      <c r="J1473" s="31"/>
      <c r="K1473" s="31"/>
      <c r="L1473" s="24">
        <f t="shared" si="585"/>
        <v>0</v>
      </c>
      <c r="M1473" s="30"/>
      <c r="N1473" s="30"/>
      <c r="O1473" s="30"/>
      <c r="P1473" s="30"/>
    </row>
    <row r="1474" spans="1:16" s="1" customFormat="1">
      <c r="A1474" s="28"/>
      <c r="B1474" s="39" t="s">
        <v>47</v>
      </c>
      <c r="C1474" s="24">
        <f t="shared" si="584"/>
        <v>0</v>
      </c>
      <c r="D1474" s="30"/>
      <c r="E1474" s="30"/>
      <c r="F1474" s="30"/>
      <c r="G1474" s="30"/>
      <c r="H1474" s="31"/>
      <c r="I1474" s="31"/>
      <c r="J1474" s="31"/>
      <c r="K1474" s="31"/>
      <c r="L1474" s="24">
        <f t="shared" si="585"/>
        <v>0</v>
      </c>
      <c r="M1474" s="30"/>
      <c r="N1474" s="30"/>
      <c r="O1474" s="30"/>
      <c r="P1474" s="30"/>
    </row>
    <row r="1475" spans="1:16" s="1" customFormat="1" ht="36.75" customHeight="1">
      <c r="A1475" s="211" t="s">
        <v>3</v>
      </c>
      <c r="B1475" s="213" t="s">
        <v>4</v>
      </c>
      <c r="C1475" s="213" t="s">
        <v>5</v>
      </c>
      <c r="D1475" s="10" t="s">
        <v>6</v>
      </c>
      <c r="E1475" s="215" t="s">
        <v>7</v>
      </c>
      <c r="F1475" s="216"/>
      <c r="G1475" s="217"/>
      <c r="H1475" s="218" t="s">
        <v>8</v>
      </c>
      <c r="I1475" s="218"/>
      <c r="J1475" s="218"/>
      <c r="K1475" s="11"/>
      <c r="L1475" s="219" t="s">
        <v>9</v>
      </c>
      <c r="M1475" s="12" t="s">
        <v>6</v>
      </c>
      <c r="N1475" s="208" t="s">
        <v>10</v>
      </c>
      <c r="O1475" s="209"/>
      <c r="P1475" s="210"/>
    </row>
    <row r="1476" spans="1:16" s="1" customFormat="1" ht="47.25" customHeight="1">
      <c r="A1476" s="212"/>
      <c r="B1476" s="214"/>
      <c r="C1476" s="214"/>
      <c r="D1476" s="13" t="s">
        <v>11</v>
      </c>
      <c r="E1476" s="13" t="s">
        <v>12</v>
      </c>
      <c r="F1476" s="13" t="s">
        <v>13</v>
      </c>
      <c r="G1476" s="13" t="s">
        <v>14</v>
      </c>
      <c r="H1476" s="14" t="s">
        <v>15</v>
      </c>
      <c r="I1476" s="14" t="s">
        <v>16</v>
      </c>
      <c r="J1476" s="14" t="s">
        <v>17</v>
      </c>
      <c r="K1476" s="14" t="s">
        <v>18</v>
      </c>
      <c r="L1476" s="220"/>
      <c r="M1476" s="15" t="s">
        <v>11</v>
      </c>
      <c r="N1476" s="15" t="s">
        <v>12</v>
      </c>
      <c r="O1476" s="15" t="s">
        <v>13</v>
      </c>
      <c r="P1476" s="15" t="s">
        <v>14</v>
      </c>
    </row>
    <row r="1477" spans="1:16" s="1" customFormat="1">
      <c r="A1477" s="80">
        <v>1</v>
      </c>
      <c r="B1477" s="89"/>
      <c r="C1477" s="81">
        <f t="shared" ref="C1477:G1477" si="586">C1478+C1479+C1480+C1481+C1482+C1483+C1484+C1485+C1490+C1491+C1492+C1493+C1494+C1495+C1496+C1497</f>
        <v>0</v>
      </c>
      <c r="D1477" s="81">
        <f t="shared" si="586"/>
        <v>0</v>
      </c>
      <c r="E1477" s="81">
        <f t="shared" si="586"/>
        <v>0</v>
      </c>
      <c r="F1477" s="81">
        <f t="shared" si="586"/>
        <v>0</v>
      </c>
      <c r="G1477" s="81">
        <f t="shared" si="586"/>
        <v>0</v>
      </c>
      <c r="H1477" s="93"/>
      <c r="I1477" s="94"/>
      <c r="J1477" s="94"/>
      <c r="K1477" s="84"/>
      <c r="L1477" s="81">
        <f t="shared" ref="L1477:P1477" si="587">L1478+L1479+L1480+L1481+L1482+L1483+L1484+L1485+L1490+L1491+L1492+L1493+L1494+L1495+L1496+L1497</f>
        <v>0</v>
      </c>
      <c r="M1477" s="81">
        <f t="shared" si="587"/>
        <v>0</v>
      </c>
      <c r="N1477" s="81">
        <f t="shared" si="587"/>
        <v>0</v>
      </c>
      <c r="O1477" s="81">
        <f t="shared" si="587"/>
        <v>0</v>
      </c>
      <c r="P1477" s="81">
        <f t="shared" si="587"/>
        <v>0</v>
      </c>
    </row>
    <row r="1478" spans="1:16" s="5" customFormat="1">
      <c r="A1478" s="22"/>
      <c r="B1478" s="95" t="s">
        <v>20</v>
      </c>
      <c r="C1478" s="24">
        <f t="shared" ref="C1478:C1484" si="588">E1478+F1478+G1478</f>
        <v>0</v>
      </c>
      <c r="D1478" s="25"/>
      <c r="E1478" s="25"/>
      <c r="F1478" s="25"/>
      <c r="G1478" s="25"/>
      <c r="H1478" s="60"/>
      <c r="I1478" s="61"/>
      <c r="J1478" s="61"/>
      <c r="K1478" s="27"/>
      <c r="L1478" s="24">
        <f t="shared" ref="L1478:L1484" si="589">N1478+O1478+P1478</f>
        <v>0</v>
      </c>
      <c r="M1478" s="25"/>
      <c r="N1478" s="25"/>
      <c r="O1478" s="25"/>
      <c r="P1478" s="25"/>
    </row>
    <row r="1479" spans="1:16" s="1" customFormat="1">
      <c r="A1479" s="28"/>
      <c r="B1479" s="29" t="s">
        <v>21</v>
      </c>
      <c r="C1479" s="24">
        <f t="shared" si="588"/>
        <v>0</v>
      </c>
      <c r="D1479" s="30"/>
      <c r="E1479" s="30"/>
      <c r="F1479" s="30"/>
      <c r="G1479" s="30"/>
      <c r="H1479" s="31"/>
      <c r="I1479" s="31"/>
      <c r="J1479" s="31"/>
      <c r="K1479" s="31"/>
      <c r="L1479" s="24">
        <f t="shared" si="589"/>
        <v>0</v>
      </c>
      <c r="M1479" s="30"/>
      <c r="N1479" s="30"/>
      <c r="O1479" s="30"/>
      <c r="P1479" s="30"/>
    </row>
    <row r="1480" spans="1:16" s="1" customFormat="1">
      <c r="A1480" s="28"/>
      <c r="B1480" s="32" t="s">
        <v>22</v>
      </c>
      <c r="C1480" s="24">
        <f t="shared" si="588"/>
        <v>0</v>
      </c>
      <c r="D1480" s="30"/>
      <c r="E1480" s="30"/>
      <c r="F1480" s="30"/>
      <c r="G1480" s="30"/>
      <c r="H1480" s="31"/>
      <c r="I1480" s="31"/>
      <c r="J1480" s="31"/>
      <c r="K1480" s="31"/>
      <c r="L1480" s="24">
        <f t="shared" si="589"/>
        <v>0</v>
      </c>
      <c r="M1480" s="30"/>
      <c r="N1480" s="30"/>
      <c r="O1480" s="30"/>
      <c r="P1480" s="30"/>
    </row>
    <row r="1481" spans="1:16" s="1" customFormat="1">
      <c r="A1481" s="28"/>
      <c r="B1481" s="32" t="s">
        <v>23</v>
      </c>
      <c r="C1481" s="24">
        <f t="shared" si="588"/>
        <v>0</v>
      </c>
      <c r="D1481" s="30"/>
      <c r="E1481" s="30"/>
      <c r="F1481" s="30"/>
      <c r="G1481" s="30"/>
      <c r="H1481" s="31"/>
      <c r="I1481" s="31"/>
      <c r="J1481" s="31"/>
      <c r="K1481" s="31"/>
      <c r="L1481" s="24">
        <f t="shared" si="589"/>
        <v>0</v>
      </c>
      <c r="M1481" s="30"/>
      <c r="N1481" s="30"/>
      <c r="O1481" s="30"/>
      <c r="P1481" s="30"/>
    </row>
    <row r="1482" spans="1:16" s="1" customFormat="1">
      <c r="A1482" s="28"/>
      <c r="B1482" s="29" t="s">
        <v>24</v>
      </c>
      <c r="C1482" s="24">
        <f t="shared" si="588"/>
        <v>0</v>
      </c>
      <c r="D1482" s="30"/>
      <c r="E1482" s="30"/>
      <c r="F1482" s="30"/>
      <c r="G1482" s="30"/>
      <c r="H1482" s="31"/>
      <c r="I1482" s="31"/>
      <c r="J1482" s="31"/>
      <c r="K1482" s="31"/>
      <c r="L1482" s="24">
        <f t="shared" si="589"/>
        <v>0</v>
      </c>
      <c r="M1482" s="30"/>
      <c r="N1482" s="30"/>
      <c r="O1482" s="30"/>
      <c r="P1482" s="30"/>
    </row>
    <row r="1483" spans="1:16" s="1" customFormat="1">
      <c r="A1483" s="28"/>
      <c r="B1483" s="34" t="s">
        <v>25</v>
      </c>
      <c r="C1483" s="24">
        <f t="shared" si="588"/>
        <v>0</v>
      </c>
      <c r="D1483" s="30"/>
      <c r="E1483" s="30"/>
      <c r="F1483" s="30"/>
      <c r="G1483" s="30"/>
      <c r="H1483" s="31"/>
      <c r="I1483" s="31"/>
      <c r="J1483" s="31"/>
      <c r="K1483" s="31"/>
      <c r="L1483" s="24">
        <f t="shared" si="589"/>
        <v>0</v>
      </c>
      <c r="M1483" s="30"/>
      <c r="N1483" s="30"/>
      <c r="O1483" s="30"/>
      <c r="P1483" s="30"/>
    </row>
    <row r="1484" spans="1:16" s="1" customFormat="1">
      <c r="A1484" s="28"/>
      <c r="B1484" s="32" t="s">
        <v>26</v>
      </c>
      <c r="C1484" s="24">
        <f t="shared" si="588"/>
        <v>0</v>
      </c>
      <c r="D1484" s="30"/>
      <c r="E1484" s="30"/>
      <c r="F1484" s="30"/>
      <c r="G1484" s="30"/>
      <c r="H1484" s="31"/>
      <c r="I1484" s="31"/>
      <c r="J1484" s="31"/>
      <c r="K1484" s="31"/>
      <c r="L1484" s="24">
        <f t="shared" si="589"/>
        <v>0</v>
      </c>
      <c r="M1484" s="30"/>
      <c r="N1484" s="30"/>
      <c r="O1484" s="30"/>
      <c r="P1484" s="30"/>
    </row>
    <row r="1485" spans="1:16" s="1" customFormat="1" ht="30">
      <c r="A1485" s="28"/>
      <c r="B1485" s="35" t="s">
        <v>27</v>
      </c>
      <c r="C1485" s="36">
        <f t="shared" ref="C1485:G1485" si="590">SUM(C1486:C1489)</f>
        <v>0</v>
      </c>
      <c r="D1485" s="36">
        <f t="shared" si="590"/>
        <v>0</v>
      </c>
      <c r="E1485" s="36">
        <f t="shared" si="590"/>
        <v>0</v>
      </c>
      <c r="F1485" s="36">
        <f t="shared" si="590"/>
        <v>0</v>
      </c>
      <c r="G1485" s="36">
        <f t="shared" si="590"/>
        <v>0</v>
      </c>
      <c r="H1485" s="31"/>
      <c r="I1485" s="31"/>
      <c r="J1485" s="31"/>
      <c r="K1485" s="31"/>
      <c r="L1485" s="36">
        <f t="shared" ref="L1485:P1485" si="591">SUM(L1486:L1489)</f>
        <v>0</v>
      </c>
      <c r="M1485" s="36">
        <f t="shared" si="591"/>
        <v>0</v>
      </c>
      <c r="N1485" s="36">
        <f t="shared" si="591"/>
        <v>0</v>
      </c>
      <c r="O1485" s="36">
        <f t="shared" si="591"/>
        <v>0</v>
      </c>
      <c r="P1485" s="36">
        <f t="shared" si="591"/>
        <v>0</v>
      </c>
    </row>
    <row r="1486" spans="1:16" s="1" customFormat="1">
      <c r="A1486" s="28"/>
      <c r="B1486" s="38" t="s">
        <v>28</v>
      </c>
      <c r="C1486" s="24">
        <f t="shared" ref="C1486:C1496" si="592">E1486+F1486+G1486</f>
        <v>0</v>
      </c>
      <c r="D1486" s="30"/>
      <c r="E1486" s="30"/>
      <c r="F1486" s="30"/>
      <c r="G1486" s="30"/>
      <c r="H1486" s="31"/>
      <c r="I1486" s="31"/>
      <c r="J1486" s="31"/>
      <c r="K1486" s="31"/>
      <c r="L1486" s="24">
        <f t="shared" ref="L1486:L1496" si="593">N1486+O1486+P1486</f>
        <v>0</v>
      </c>
      <c r="M1486" s="30"/>
      <c r="N1486" s="30"/>
      <c r="O1486" s="30"/>
      <c r="P1486" s="30"/>
    </row>
    <row r="1487" spans="1:16" s="1" customFormat="1">
      <c r="A1487" s="28"/>
      <c r="B1487" s="38" t="s">
        <v>29</v>
      </c>
      <c r="C1487" s="24">
        <f t="shared" si="592"/>
        <v>0</v>
      </c>
      <c r="D1487" s="30"/>
      <c r="E1487" s="30"/>
      <c r="F1487" s="30"/>
      <c r="G1487" s="30"/>
      <c r="H1487" s="31"/>
      <c r="I1487" s="31"/>
      <c r="J1487" s="31"/>
      <c r="K1487" s="31"/>
      <c r="L1487" s="24">
        <f t="shared" si="593"/>
        <v>0</v>
      </c>
      <c r="M1487" s="30"/>
      <c r="N1487" s="30"/>
      <c r="O1487" s="30"/>
      <c r="P1487" s="30"/>
    </row>
    <row r="1488" spans="1:16" s="1" customFormat="1">
      <c r="A1488" s="28"/>
      <c r="B1488" s="38" t="s">
        <v>30</v>
      </c>
      <c r="C1488" s="24">
        <f t="shared" si="592"/>
        <v>0</v>
      </c>
      <c r="D1488" s="30"/>
      <c r="E1488" s="30"/>
      <c r="F1488" s="30"/>
      <c r="G1488" s="30"/>
      <c r="H1488" s="31"/>
      <c r="I1488" s="31"/>
      <c r="J1488" s="31"/>
      <c r="K1488" s="31"/>
      <c r="L1488" s="24">
        <f t="shared" si="593"/>
        <v>0</v>
      </c>
      <c r="M1488" s="30"/>
      <c r="N1488" s="30"/>
      <c r="O1488" s="30"/>
      <c r="P1488" s="30"/>
    </row>
    <row r="1489" spans="1:16" s="1" customFormat="1">
      <c r="A1489" s="28"/>
      <c r="B1489" s="38" t="s">
        <v>31</v>
      </c>
      <c r="C1489" s="24">
        <f t="shared" si="592"/>
        <v>0</v>
      </c>
      <c r="D1489" s="30"/>
      <c r="E1489" s="30"/>
      <c r="F1489" s="30"/>
      <c r="G1489" s="30"/>
      <c r="H1489" s="31"/>
      <c r="I1489" s="31"/>
      <c r="J1489" s="31"/>
      <c r="K1489" s="31"/>
      <c r="L1489" s="24">
        <f t="shared" si="593"/>
        <v>0</v>
      </c>
      <c r="M1489" s="30"/>
      <c r="N1489" s="30"/>
      <c r="O1489" s="30"/>
      <c r="P1489" s="30"/>
    </row>
    <row r="1490" spans="1:16" s="1" customFormat="1" ht="30">
      <c r="A1490" s="28"/>
      <c r="B1490" s="39" t="s">
        <v>32</v>
      </c>
      <c r="C1490" s="24">
        <f t="shared" si="592"/>
        <v>0</v>
      </c>
      <c r="D1490" s="30"/>
      <c r="E1490" s="30"/>
      <c r="F1490" s="30"/>
      <c r="G1490" s="30"/>
      <c r="H1490" s="31"/>
      <c r="I1490" s="31"/>
      <c r="J1490" s="31"/>
      <c r="K1490" s="31"/>
      <c r="L1490" s="24">
        <f t="shared" si="593"/>
        <v>0</v>
      </c>
      <c r="M1490" s="30"/>
      <c r="N1490" s="30"/>
      <c r="O1490" s="30"/>
      <c r="P1490" s="30"/>
    </row>
    <row r="1491" spans="1:16" s="1" customFormat="1" ht="30">
      <c r="A1491" s="28"/>
      <c r="B1491" s="39" t="s">
        <v>33</v>
      </c>
      <c r="C1491" s="24">
        <f t="shared" si="592"/>
        <v>0</v>
      </c>
      <c r="D1491" s="30"/>
      <c r="E1491" s="30"/>
      <c r="F1491" s="30"/>
      <c r="G1491" s="30"/>
      <c r="H1491" s="31"/>
      <c r="I1491" s="31"/>
      <c r="J1491" s="31"/>
      <c r="K1491" s="31"/>
      <c r="L1491" s="24">
        <f t="shared" si="593"/>
        <v>0</v>
      </c>
      <c r="M1491" s="30"/>
      <c r="N1491" s="30"/>
      <c r="O1491" s="30"/>
      <c r="P1491" s="30"/>
    </row>
    <row r="1492" spans="1:16" s="1" customFormat="1" ht="30">
      <c r="A1492" s="28"/>
      <c r="B1492" s="40" t="s">
        <v>34</v>
      </c>
      <c r="C1492" s="24">
        <f t="shared" si="592"/>
        <v>0</v>
      </c>
      <c r="D1492" s="30"/>
      <c r="E1492" s="30"/>
      <c r="F1492" s="30"/>
      <c r="G1492" s="30"/>
      <c r="H1492" s="31"/>
      <c r="I1492" s="31"/>
      <c r="J1492" s="31"/>
      <c r="K1492" s="31"/>
      <c r="L1492" s="24">
        <f t="shared" si="593"/>
        <v>0</v>
      </c>
      <c r="M1492" s="30"/>
      <c r="N1492" s="30"/>
      <c r="O1492" s="30"/>
      <c r="P1492" s="30"/>
    </row>
    <row r="1493" spans="1:16" s="1" customFormat="1">
      <c r="A1493" s="28"/>
      <c r="B1493" s="40" t="s">
        <v>35</v>
      </c>
      <c r="C1493" s="24">
        <f t="shared" si="592"/>
        <v>0</v>
      </c>
      <c r="D1493" s="30"/>
      <c r="E1493" s="30"/>
      <c r="F1493" s="30"/>
      <c r="G1493" s="30"/>
      <c r="H1493" s="31"/>
      <c r="I1493" s="31"/>
      <c r="J1493" s="31"/>
      <c r="K1493" s="31"/>
      <c r="L1493" s="24">
        <f t="shared" si="593"/>
        <v>0</v>
      </c>
      <c r="M1493" s="30"/>
      <c r="N1493" s="30"/>
      <c r="O1493" s="30"/>
      <c r="P1493" s="30"/>
    </row>
    <row r="1494" spans="1:16" s="1" customFormat="1" ht="30">
      <c r="A1494" s="28"/>
      <c r="B1494" s="41" t="s">
        <v>36</v>
      </c>
      <c r="C1494" s="24">
        <f t="shared" si="592"/>
        <v>0</v>
      </c>
      <c r="D1494" s="30"/>
      <c r="E1494" s="30"/>
      <c r="F1494" s="30"/>
      <c r="G1494" s="30"/>
      <c r="H1494" s="31"/>
      <c r="I1494" s="31"/>
      <c r="J1494" s="31"/>
      <c r="K1494" s="31"/>
      <c r="L1494" s="24">
        <f t="shared" si="593"/>
        <v>0</v>
      </c>
      <c r="M1494" s="30"/>
      <c r="N1494" s="30"/>
      <c r="O1494" s="30"/>
      <c r="P1494" s="30"/>
    </row>
    <row r="1495" spans="1:16" s="1" customFormat="1">
      <c r="A1495" s="28"/>
      <c r="B1495" s="42" t="s">
        <v>37</v>
      </c>
      <c r="C1495" s="24">
        <f t="shared" si="592"/>
        <v>0</v>
      </c>
      <c r="D1495" s="30"/>
      <c r="E1495" s="30"/>
      <c r="F1495" s="30"/>
      <c r="G1495" s="30"/>
      <c r="H1495" s="31"/>
      <c r="I1495" s="31"/>
      <c r="J1495" s="31"/>
      <c r="K1495" s="31"/>
      <c r="L1495" s="24">
        <f t="shared" si="593"/>
        <v>0</v>
      </c>
      <c r="M1495" s="30"/>
      <c r="N1495" s="30"/>
      <c r="O1495" s="30"/>
      <c r="P1495" s="30"/>
    </row>
    <row r="1496" spans="1:16" s="1" customFormat="1" ht="30">
      <c r="A1496" s="28"/>
      <c r="B1496" s="42" t="s">
        <v>38</v>
      </c>
      <c r="C1496" s="24">
        <f t="shared" si="592"/>
        <v>0</v>
      </c>
      <c r="D1496" s="30"/>
      <c r="E1496" s="30"/>
      <c r="F1496" s="30"/>
      <c r="G1496" s="30"/>
      <c r="H1496" s="31"/>
      <c r="I1496" s="31"/>
      <c r="J1496" s="31"/>
      <c r="K1496" s="31"/>
      <c r="L1496" s="24">
        <f t="shared" si="593"/>
        <v>0</v>
      </c>
      <c r="M1496" s="30"/>
      <c r="N1496" s="30"/>
      <c r="O1496" s="30"/>
      <c r="P1496" s="30"/>
    </row>
    <row r="1497" spans="1:16" s="1" customFormat="1" ht="30">
      <c r="A1497" s="28"/>
      <c r="B1497" s="43" t="s">
        <v>39</v>
      </c>
      <c r="C1497" s="36">
        <f t="shared" ref="C1497:G1497" si="594">SUM(C1498:C1504)</f>
        <v>0</v>
      </c>
      <c r="D1497" s="36">
        <f t="shared" si="594"/>
        <v>0</v>
      </c>
      <c r="E1497" s="36">
        <f t="shared" si="594"/>
        <v>0</v>
      </c>
      <c r="F1497" s="36">
        <f t="shared" si="594"/>
        <v>0</v>
      </c>
      <c r="G1497" s="36">
        <f t="shared" si="594"/>
        <v>0</v>
      </c>
      <c r="H1497" s="31"/>
      <c r="I1497" s="31"/>
      <c r="J1497" s="31"/>
      <c r="K1497" s="31"/>
      <c r="L1497" s="36">
        <f t="shared" ref="L1497:P1497" si="595">SUM(L1498:L1504)</f>
        <v>0</v>
      </c>
      <c r="M1497" s="36">
        <f t="shared" si="595"/>
        <v>0</v>
      </c>
      <c r="N1497" s="36">
        <f t="shared" si="595"/>
        <v>0</v>
      </c>
      <c r="O1497" s="36">
        <f t="shared" si="595"/>
        <v>0</v>
      </c>
      <c r="P1497" s="36">
        <f t="shared" si="595"/>
        <v>0</v>
      </c>
    </row>
    <row r="1498" spans="1:16" s="1" customFormat="1" ht="30">
      <c r="A1498" s="28" t="s">
        <v>40</v>
      </c>
      <c r="B1498" s="39" t="s">
        <v>41</v>
      </c>
      <c r="C1498" s="24">
        <f t="shared" ref="C1498:C1504" si="596">E1498+F1498+G1498</f>
        <v>0</v>
      </c>
      <c r="D1498" s="30"/>
      <c r="E1498" s="30"/>
      <c r="F1498" s="30"/>
      <c r="G1498" s="30"/>
      <c r="H1498" s="31"/>
      <c r="I1498" s="31"/>
      <c r="J1498" s="31"/>
      <c r="K1498" s="31"/>
      <c r="L1498" s="24">
        <f t="shared" ref="L1498:L1504" si="597">N1498+O1498+P1498</f>
        <v>0</v>
      </c>
      <c r="M1498" s="30"/>
      <c r="N1498" s="30"/>
      <c r="O1498" s="30"/>
      <c r="P1498" s="30"/>
    </row>
    <row r="1499" spans="1:16" s="1" customFormat="1">
      <c r="A1499" s="28"/>
      <c r="B1499" s="39" t="s">
        <v>42</v>
      </c>
      <c r="C1499" s="24">
        <f t="shared" si="596"/>
        <v>0</v>
      </c>
      <c r="D1499" s="30"/>
      <c r="E1499" s="30"/>
      <c r="F1499" s="30"/>
      <c r="G1499" s="30"/>
      <c r="H1499" s="31"/>
      <c r="I1499" s="31"/>
      <c r="J1499" s="31"/>
      <c r="K1499" s="31"/>
      <c r="L1499" s="24">
        <f t="shared" si="597"/>
        <v>0</v>
      </c>
      <c r="M1499" s="30"/>
      <c r="N1499" s="30"/>
      <c r="O1499" s="30"/>
      <c r="P1499" s="30"/>
    </row>
    <row r="1500" spans="1:16" s="1" customFormat="1">
      <c r="A1500" s="28"/>
      <c r="B1500" s="39" t="s">
        <v>43</v>
      </c>
      <c r="C1500" s="24">
        <f t="shared" si="596"/>
        <v>0</v>
      </c>
      <c r="D1500" s="30"/>
      <c r="E1500" s="30"/>
      <c r="F1500" s="30"/>
      <c r="G1500" s="30"/>
      <c r="H1500" s="31"/>
      <c r="I1500" s="31"/>
      <c r="J1500" s="31"/>
      <c r="K1500" s="31"/>
      <c r="L1500" s="24">
        <f t="shared" si="597"/>
        <v>0</v>
      </c>
      <c r="M1500" s="30"/>
      <c r="N1500" s="30"/>
      <c r="O1500" s="30"/>
      <c r="P1500" s="30"/>
    </row>
    <row r="1501" spans="1:16" s="1" customFormat="1">
      <c r="A1501" s="28"/>
      <c r="B1501" s="39" t="s">
        <v>44</v>
      </c>
      <c r="C1501" s="24">
        <f t="shared" si="596"/>
        <v>0</v>
      </c>
      <c r="D1501" s="30"/>
      <c r="E1501" s="30"/>
      <c r="F1501" s="30"/>
      <c r="G1501" s="30"/>
      <c r="H1501" s="31"/>
      <c r="I1501" s="31"/>
      <c r="J1501" s="31"/>
      <c r="K1501" s="31"/>
      <c r="L1501" s="24">
        <f t="shared" si="597"/>
        <v>0</v>
      </c>
      <c r="M1501" s="30"/>
      <c r="N1501" s="30"/>
      <c r="O1501" s="30"/>
      <c r="P1501" s="30"/>
    </row>
    <row r="1502" spans="1:16" s="1" customFormat="1">
      <c r="A1502" s="28"/>
      <c r="B1502" s="39" t="s">
        <v>45</v>
      </c>
      <c r="C1502" s="24">
        <f t="shared" si="596"/>
        <v>0</v>
      </c>
      <c r="D1502" s="30"/>
      <c r="E1502" s="30"/>
      <c r="F1502" s="30"/>
      <c r="G1502" s="30"/>
      <c r="H1502" s="31"/>
      <c r="I1502" s="31"/>
      <c r="J1502" s="31"/>
      <c r="K1502" s="31"/>
      <c r="L1502" s="24">
        <f t="shared" si="597"/>
        <v>0</v>
      </c>
      <c r="M1502" s="30"/>
      <c r="N1502" s="30"/>
      <c r="O1502" s="30"/>
      <c r="P1502" s="30"/>
    </row>
    <row r="1503" spans="1:16" s="1" customFormat="1" ht="30">
      <c r="A1503" s="28"/>
      <c r="B1503" s="39" t="s">
        <v>46</v>
      </c>
      <c r="C1503" s="24">
        <f t="shared" si="596"/>
        <v>0</v>
      </c>
      <c r="D1503" s="30"/>
      <c r="E1503" s="30"/>
      <c r="F1503" s="30"/>
      <c r="G1503" s="30"/>
      <c r="H1503" s="31"/>
      <c r="I1503" s="31"/>
      <c r="J1503" s="31"/>
      <c r="K1503" s="31"/>
      <c r="L1503" s="24">
        <f t="shared" si="597"/>
        <v>0</v>
      </c>
      <c r="M1503" s="30"/>
      <c r="N1503" s="30"/>
      <c r="O1503" s="30"/>
      <c r="P1503" s="30"/>
    </row>
    <row r="1504" spans="1:16" s="1" customFormat="1">
      <c r="A1504" s="28"/>
      <c r="B1504" s="39" t="s">
        <v>47</v>
      </c>
      <c r="C1504" s="24">
        <f t="shared" si="596"/>
        <v>0</v>
      </c>
      <c r="D1504" s="30"/>
      <c r="E1504" s="30"/>
      <c r="F1504" s="30"/>
      <c r="G1504" s="30"/>
      <c r="H1504" s="31"/>
      <c r="I1504" s="31"/>
      <c r="J1504" s="31"/>
      <c r="K1504" s="31"/>
      <c r="L1504" s="24">
        <f t="shared" si="597"/>
        <v>0</v>
      </c>
      <c r="M1504" s="30"/>
      <c r="N1504" s="30"/>
      <c r="O1504" s="30"/>
      <c r="P1504" s="30"/>
    </row>
    <row r="1505" spans="1:16" s="1" customFormat="1" ht="36.75" customHeight="1">
      <c r="A1505" s="211" t="s">
        <v>3</v>
      </c>
      <c r="B1505" s="213" t="s">
        <v>4</v>
      </c>
      <c r="C1505" s="213" t="s">
        <v>5</v>
      </c>
      <c r="D1505" s="10" t="s">
        <v>6</v>
      </c>
      <c r="E1505" s="215" t="s">
        <v>7</v>
      </c>
      <c r="F1505" s="216"/>
      <c r="G1505" s="217"/>
      <c r="H1505" s="218" t="s">
        <v>8</v>
      </c>
      <c r="I1505" s="218"/>
      <c r="J1505" s="218"/>
      <c r="K1505" s="11"/>
      <c r="L1505" s="219" t="s">
        <v>9</v>
      </c>
      <c r="M1505" s="12" t="s">
        <v>6</v>
      </c>
      <c r="N1505" s="208" t="s">
        <v>10</v>
      </c>
      <c r="O1505" s="209"/>
      <c r="P1505" s="210"/>
    </row>
    <row r="1506" spans="1:16" s="1" customFormat="1" ht="47.25" customHeight="1">
      <c r="A1506" s="212"/>
      <c r="B1506" s="214"/>
      <c r="C1506" s="214"/>
      <c r="D1506" s="13" t="s">
        <v>11</v>
      </c>
      <c r="E1506" s="13" t="s">
        <v>12</v>
      </c>
      <c r="F1506" s="13" t="s">
        <v>13</v>
      </c>
      <c r="G1506" s="13" t="s">
        <v>14</v>
      </c>
      <c r="H1506" s="14" t="s">
        <v>15</v>
      </c>
      <c r="I1506" s="14" t="s">
        <v>16</v>
      </c>
      <c r="J1506" s="14" t="s">
        <v>17</v>
      </c>
      <c r="K1506" s="14" t="s">
        <v>18</v>
      </c>
      <c r="L1506" s="220"/>
      <c r="M1506" s="15" t="s">
        <v>11</v>
      </c>
      <c r="N1506" s="15" t="s">
        <v>12</v>
      </c>
      <c r="O1506" s="15" t="s">
        <v>13</v>
      </c>
      <c r="P1506" s="15" t="s">
        <v>14</v>
      </c>
    </row>
    <row r="1507" spans="1:16" s="1" customFormat="1" ht="30">
      <c r="A1507" s="80"/>
      <c r="B1507" s="91" t="s">
        <v>97</v>
      </c>
      <c r="C1507" s="81">
        <f t="shared" ref="C1507:G1507" si="598">C1508+C1509+C1510+C1511+C1512+C1513+C1514+C1515+C1520+C1521+C1522+C1523+C1524+C1525+C1526+C1527</f>
        <v>15343469.770000001</v>
      </c>
      <c r="D1507" s="81">
        <f t="shared" si="598"/>
        <v>30480201.5</v>
      </c>
      <c r="E1507" s="81">
        <f t="shared" si="598"/>
        <v>10429502.15</v>
      </c>
      <c r="F1507" s="81">
        <f t="shared" si="598"/>
        <v>607187.57999999996</v>
      </c>
      <c r="G1507" s="81">
        <f t="shared" si="598"/>
        <v>4306780.04</v>
      </c>
      <c r="H1507" s="97">
        <f>H667+H697+H727+H757+H787+H817+H847+H877+H907+H937+H967+H997+H1027+H1057+H1087+H1117+H1147+H1177+H1207+H1237+H1267+H1297+H1327+H1357+H1387+H1417+H1447+H1477</f>
        <v>0</v>
      </c>
      <c r="I1507" s="97">
        <f>I667+I697+I727+I757+I787+I817+I847+I877+I907+I937+I967+I997+I1027+I1057+I1087+I1117+I1147+I1177+I1207+I1237+I1267+I1297+I1327+I1357+I1387+I1417+I1447+I1477</f>
        <v>0</v>
      </c>
      <c r="J1507" s="97">
        <f>J667+J697+J727+J757+J787+J817+J847+J877+J907+J937+J967+J997+J1027+J1057+J1087+J1117+J1147+J1177+J1207+J1237+J1267+J1297+J1327+J1357+J1387+J1417+J1447+J1477</f>
        <v>0</v>
      </c>
      <c r="K1507" s="97">
        <f>K667+K697+K727+K757+K787+K817+K847+K877+K907+K937+K967+K997+K1027+K1057+K1087+K1117+K1147+K1177+K1207+K1237+K1267+K1297+K1327+K1357+K1387+K1417+K1447+K1477</f>
        <v>0</v>
      </c>
      <c r="L1507" s="81">
        <f t="shared" ref="L1507:P1507" si="599">L1508+L1509+L1510+L1511+L1512+L1513+L1514+L1515+L1520+L1521+L1522+L1523+L1524+L1525+L1526+L1527</f>
        <v>0.01</v>
      </c>
      <c r="M1507" s="81">
        <f t="shared" si="599"/>
        <v>30480201.5</v>
      </c>
      <c r="N1507" s="81">
        <f t="shared" si="599"/>
        <v>0</v>
      </c>
      <c r="O1507" s="81">
        <f t="shared" si="599"/>
        <v>0</v>
      </c>
      <c r="P1507" s="81">
        <f t="shared" si="599"/>
        <v>0.01</v>
      </c>
    </row>
    <row r="1508" spans="1:16" s="1" customFormat="1">
      <c r="A1508" s="98"/>
      <c r="B1508" s="99" t="s">
        <v>20</v>
      </c>
      <c r="C1508" s="97">
        <f t="shared" ref="C1508:G1514" si="600">C668+C698+C728+C758+C788+C818+C848+C878+C908+C938+C968+C998+C1028+C1058+C1088+C1118+C1148+C1178+C1208+C1238+C1268+C1298+C1328+C1358+C1388+C1418+C1448+C1478</f>
        <v>2540062.7400000002</v>
      </c>
      <c r="D1508" s="97">
        <f t="shared" si="600"/>
        <v>0</v>
      </c>
      <c r="E1508" s="97">
        <f t="shared" si="600"/>
        <v>0</v>
      </c>
      <c r="F1508" s="97">
        <f t="shared" si="600"/>
        <v>108817.23</v>
      </c>
      <c r="G1508" s="97">
        <f t="shared" si="600"/>
        <v>2431245.5100000002</v>
      </c>
      <c r="H1508" s="24"/>
      <c r="I1508" s="24"/>
      <c r="J1508" s="24"/>
      <c r="K1508" s="24"/>
      <c r="L1508" s="97">
        <f t="shared" ref="L1508:P1514" si="601">L668+L698+L728+L758+L788+L818+L848+L878+L908+L938+L968+L998+L1028+L1058+L1088+L1118+L1148+L1178+L1208+L1238+L1268+L1298+L1328+L1358+L1388+L1418+L1448+L1478</f>
        <v>0.01</v>
      </c>
      <c r="M1508" s="97">
        <f t="shared" si="601"/>
        <v>0</v>
      </c>
      <c r="N1508" s="97">
        <f t="shared" si="601"/>
        <v>0</v>
      </c>
      <c r="O1508" s="97">
        <f t="shared" si="601"/>
        <v>0</v>
      </c>
      <c r="P1508" s="97">
        <f t="shared" si="601"/>
        <v>0.01</v>
      </c>
    </row>
    <row r="1509" spans="1:16" s="1" customFormat="1">
      <c r="A1509" s="100"/>
      <c r="B1509" s="101" t="s">
        <v>21</v>
      </c>
      <c r="C1509" s="97">
        <f t="shared" si="600"/>
        <v>1959582.36</v>
      </c>
      <c r="D1509" s="97">
        <f t="shared" si="600"/>
        <v>525049.86</v>
      </c>
      <c r="E1509" s="97">
        <f t="shared" si="600"/>
        <v>1915778.25</v>
      </c>
      <c r="F1509" s="97">
        <f t="shared" si="600"/>
        <v>43804.11</v>
      </c>
      <c r="G1509" s="97">
        <f t="shared" si="600"/>
        <v>0</v>
      </c>
      <c r="H1509" s="31"/>
      <c r="I1509" s="31"/>
      <c r="J1509" s="31"/>
      <c r="K1509" s="31"/>
      <c r="L1509" s="97">
        <f t="shared" si="601"/>
        <v>0</v>
      </c>
      <c r="M1509" s="97">
        <f t="shared" si="601"/>
        <v>525049.86</v>
      </c>
      <c r="N1509" s="97">
        <f t="shared" si="601"/>
        <v>0</v>
      </c>
      <c r="O1509" s="97">
        <f t="shared" si="601"/>
        <v>0</v>
      </c>
      <c r="P1509" s="97">
        <f t="shared" si="601"/>
        <v>0</v>
      </c>
    </row>
    <row r="1510" spans="1:16" s="1" customFormat="1">
      <c r="A1510" s="100"/>
      <c r="B1510" s="101" t="s">
        <v>22</v>
      </c>
      <c r="C1510" s="97">
        <f t="shared" si="600"/>
        <v>0</v>
      </c>
      <c r="D1510" s="97">
        <f t="shared" si="600"/>
        <v>106078.35</v>
      </c>
      <c r="E1510" s="97">
        <f t="shared" si="600"/>
        <v>0</v>
      </c>
      <c r="F1510" s="97">
        <f t="shared" si="600"/>
        <v>0</v>
      </c>
      <c r="G1510" s="97">
        <f t="shared" si="600"/>
        <v>0</v>
      </c>
      <c r="H1510" s="31"/>
      <c r="I1510" s="31"/>
      <c r="J1510" s="31"/>
      <c r="K1510" s="31"/>
      <c r="L1510" s="97">
        <f t="shared" si="601"/>
        <v>0</v>
      </c>
      <c r="M1510" s="97">
        <f t="shared" si="601"/>
        <v>106078.35</v>
      </c>
      <c r="N1510" s="97">
        <f t="shared" si="601"/>
        <v>0</v>
      </c>
      <c r="O1510" s="97">
        <f t="shared" si="601"/>
        <v>0</v>
      </c>
      <c r="P1510" s="97">
        <f t="shared" si="601"/>
        <v>0</v>
      </c>
    </row>
    <row r="1511" spans="1:16" s="1" customFormat="1">
      <c r="A1511" s="100"/>
      <c r="B1511" s="101" t="s">
        <v>23</v>
      </c>
      <c r="C1511" s="97">
        <f t="shared" si="600"/>
        <v>1004870.0499999999</v>
      </c>
      <c r="D1511" s="97">
        <f t="shared" si="600"/>
        <v>473646.63</v>
      </c>
      <c r="E1511" s="97">
        <f t="shared" si="600"/>
        <v>1004870.0499999999</v>
      </c>
      <c r="F1511" s="97">
        <f t="shared" si="600"/>
        <v>0</v>
      </c>
      <c r="G1511" s="97">
        <f t="shared" si="600"/>
        <v>0</v>
      </c>
      <c r="H1511" s="31"/>
      <c r="I1511" s="31"/>
      <c r="J1511" s="31"/>
      <c r="K1511" s="31"/>
      <c r="L1511" s="97">
        <f t="shared" si="601"/>
        <v>0</v>
      </c>
      <c r="M1511" s="97">
        <f t="shared" si="601"/>
        <v>473646.63</v>
      </c>
      <c r="N1511" s="97">
        <f t="shared" si="601"/>
        <v>0</v>
      </c>
      <c r="O1511" s="97">
        <f t="shared" si="601"/>
        <v>0</v>
      </c>
      <c r="P1511" s="97">
        <f t="shared" si="601"/>
        <v>0</v>
      </c>
    </row>
    <row r="1512" spans="1:16" s="1" customFormat="1">
      <c r="A1512" s="100"/>
      <c r="B1512" s="101" t="s">
        <v>24</v>
      </c>
      <c r="C1512" s="97">
        <f t="shared" si="600"/>
        <v>1852518.5999999999</v>
      </c>
      <c r="D1512" s="97">
        <f t="shared" si="600"/>
        <v>5156704.3699999992</v>
      </c>
      <c r="E1512" s="97">
        <f t="shared" si="600"/>
        <v>1507682.7</v>
      </c>
      <c r="F1512" s="97">
        <f t="shared" si="600"/>
        <v>344786.24</v>
      </c>
      <c r="G1512" s="97">
        <f t="shared" si="600"/>
        <v>49.66</v>
      </c>
      <c r="H1512" s="31"/>
      <c r="I1512" s="31"/>
      <c r="J1512" s="31"/>
      <c r="K1512" s="31"/>
      <c r="L1512" s="97">
        <f t="shared" si="601"/>
        <v>0</v>
      </c>
      <c r="M1512" s="97">
        <f t="shared" si="601"/>
        <v>5156704.3699999992</v>
      </c>
      <c r="N1512" s="97">
        <f t="shared" si="601"/>
        <v>0</v>
      </c>
      <c r="O1512" s="97">
        <f t="shared" si="601"/>
        <v>0</v>
      </c>
      <c r="P1512" s="97">
        <f t="shared" si="601"/>
        <v>0</v>
      </c>
    </row>
    <row r="1513" spans="1:16" s="1" customFormat="1">
      <c r="A1513" s="100"/>
      <c r="B1513" s="102" t="s">
        <v>25</v>
      </c>
      <c r="C1513" s="97">
        <f t="shared" si="600"/>
        <v>41235.57</v>
      </c>
      <c r="D1513" s="97">
        <f t="shared" si="600"/>
        <v>445307.02999999997</v>
      </c>
      <c r="E1513" s="97">
        <f t="shared" si="600"/>
        <v>41235.57</v>
      </c>
      <c r="F1513" s="97">
        <f t="shared" si="600"/>
        <v>0</v>
      </c>
      <c r="G1513" s="97">
        <f t="shared" si="600"/>
        <v>0</v>
      </c>
      <c r="H1513" s="31"/>
      <c r="I1513" s="31"/>
      <c r="J1513" s="31"/>
      <c r="K1513" s="31"/>
      <c r="L1513" s="97">
        <f t="shared" si="601"/>
        <v>0</v>
      </c>
      <c r="M1513" s="97">
        <f t="shared" si="601"/>
        <v>445307.02999999997</v>
      </c>
      <c r="N1513" s="97">
        <f t="shared" si="601"/>
        <v>0</v>
      </c>
      <c r="O1513" s="97">
        <f t="shared" si="601"/>
        <v>0</v>
      </c>
      <c r="P1513" s="97">
        <f t="shared" si="601"/>
        <v>0</v>
      </c>
    </row>
    <row r="1514" spans="1:16" s="1" customFormat="1">
      <c r="A1514" s="100"/>
      <c r="B1514" s="101" t="s">
        <v>26</v>
      </c>
      <c r="C1514" s="97">
        <f t="shared" si="600"/>
        <v>11468.9</v>
      </c>
      <c r="D1514" s="97">
        <f t="shared" si="600"/>
        <v>7878.2</v>
      </c>
      <c r="E1514" s="97">
        <f t="shared" si="600"/>
        <v>11468.9</v>
      </c>
      <c r="F1514" s="97">
        <f t="shared" si="600"/>
        <v>0</v>
      </c>
      <c r="G1514" s="97">
        <f t="shared" si="600"/>
        <v>0</v>
      </c>
      <c r="H1514" s="31"/>
      <c r="I1514" s="31"/>
      <c r="J1514" s="31"/>
      <c r="K1514" s="31"/>
      <c r="L1514" s="97">
        <f t="shared" si="601"/>
        <v>0</v>
      </c>
      <c r="M1514" s="97">
        <f t="shared" si="601"/>
        <v>7878.2</v>
      </c>
      <c r="N1514" s="97">
        <f t="shared" si="601"/>
        <v>0</v>
      </c>
      <c r="O1514" s="97">
        <f t="shared" si="601"/>
        <v>0</v>
      </c>
      <c r="P1514" s="97">
        <f t="shared" si="601"/>
        <v>0</v>
      </c>
    </row>
    <row r="1515" spans="1:16" s="1" customFormat="1" ht="30">
      <c r="A1515" s="100"/>
      <c r="B1515" s="103" t="s">
        <v>27</v>
      </c>
      <c r="C1515" s="104">
        <f t="shared" ref="C1515:G1515" si="602">SUM(C1516:C1519)</f>
        <v>3677723.8800000004</v>
      </c>
      <c r="D1515" s="104">
        <f t="shared" si="602"/>
        <v>4708352.3800000008</v>
      </c>
      <c r="E1515" s="104">
        <f t="shared" si="602"/>
        <v>3585923.8800000004</v>
      </c>
      <c r="F1515" s="104">
        <f t="shared" si="602"/>
        <v>91800</v>
      </c>
      <c r="G1515" s="104">
        <f t="shared" si="602"/>
        <v>0</v>
      </c>
      <c r="H1515" s="31"/>
      <c r="I1515" s="31"/>
      <c r="J1515" s="31"/>
      <c r="K1515" s="31"/>
      <c r="L1515" s="104">
        <f t="shared" ref="L1515:P1515" si="603">SUM(L1516:L1519)</f>
        <v>0</v>
      </c>
      <c r="M1515" s="104">
        <f t="shared" si="603"/>
        <v>4708352.3800000008</v>
      </c>
      <c r="N1515" s="104">
        <f t="shared" si="603"/>
        <v>0</v>
      </c>
      <c r="O1515" s="104">
        <f t="shared" si="603"/>
        <v>0</v>
      </c>
      <c r="P1515" s="104">
        <f t="shared" si="603"/>
        <v>0</v>
      </c>
    </row>
    <row r="1516" spans="1:16" s="1" customFormat="1">
      <c r="A1516" s="100"/>
      <c r="B1516" s="105" t="s">
        <v>28</v>
      </c>
      <c r="C1516" s="97">
        <f t="shared" ref="C1516:G1526" si="604">C676+C706+C736+C766+C796+C826+C856+C886+C916+C946+C976+C1006+C1036+C1066+C1096+C1126+C1156+C1186+C1216+C1246+C1276+C1306+C1336+C1366+C1396+C1426+C1456+C1486</f>
        <v>2643167.75</v>
      </c>
      <c r="D1516" s="97">
        <f t="shared" si="604"/>
        <v>2034325.9100000001</v>
      </c>
      <c r="E1516" s="97">
        <f t="shared" si="604"/>
        <v>2643167.75</v>
      </c>
      <c r="F1516" s="97">
        <f t="shared" si="604"/>
        <v>0</v>
      </c>
      <c r="G1516" s="97">
        <f t="shared" si="604"/>
        <v>0</v>
      </c>
      <c r="H1516" s="31"/>
      <c r="I1516" s="31"/>
      <c r="J1516" s="31"/>
      <c r="K1516" s="31"/>
      <c r="L1516" s="97">
        <f t="shared" ref="L1516:P1526" si="605">L676+L706+L736+L766+L796+L826+L856+L886+L916+L946+L976+L1006+L1036+L1066+L1096+L1126+L1156+L1186+L1216+L1246+L1276+L1306+L1336+L1366+L1396+L1426+L1456+L1486</f>
        <v>0</v>
      </c>
      <c r="M1516" s="97">
        <f t="shared" si="605"/>
        <v>2034325.9100000001</v>
      </c>
      <c r="N1516" s="97">
        <f t="shared" si="605"/>
        <v>0</v>
      </c>
      <c r="O1516" s="97">
        <f t="shared" si="605"/>
        <v>0</v>
      </c>
      <c r="P1516" s="97">
        <f t="shared" si="605"/>
        <v>0</v>
      </c>
    </row>
    <row r="1517" spans="1:16" s="1" customFormat="1">
      <c r="A1517" s="100"/>
      <c r="B1517" s="105" t="s">
        <v>29</v>
      </c>
      <c r="C1517" s="97">
        <f t="shared" si="604"/>
        <v>218829.93000000002</v>
      </c>
      <c r="D1517" s="97">
        <f t="shared" si="604"/>
        <v>979382.28</v>
      </c>
      <c r="E1517" s="97">
        <f t="shared" si="604"/>
        <v>218829.93000000002</v>
      </c>
      <c r="F1517" s="97">
        <f t="shared" si="604"/>
        <v>0</v>
      </c>
      <c r="G1517" s="97">
        <f t="shared" si="604"/>
        <v>0</v>
      </c>
      <c r="H1517" s="31"/>
      <c r="I1517" s="31"/>
      <c r="J1517" s="31"/>
      <c r="K1517" s="31"/>
      <c r="L1517" s="97">
        <f t="shared" si="605"/>
        <v>0</v>
      </c>
      <c r="M1517" s="97">
        <f t="shared" si="605"/>
        <v>979382.28</v>
      </c>
      <c r="N1517" s="97">
        <f t="shared" si="605"/>
        <v>0</v>
      </c>
      <c r="O1517" s="97">
        <f t="shared" si="605"/>
        <v>0</v>
      </c>
      <c r="P1517" s="97">
        <f t="shared" si="605"/>
        <v>0</v>
      </c>
    </row>
    <row r="1518" spans="1:16" s="1" customFormat="1">
      <c r="A1518" s="100"/>
      <c r="B1518" s="105" t="s">
        <v>30</v>
      </c>
      <c r="C1518" s="97">
        <f t="shared" si="604"/>
        <v>611054.17999999993</v>
      </c>
      <c r="D1518" s="97">
        <f t="shared" si="604"/>
        <v>1198377.92</v>
      </c>
      <c r="E1518" s="97">
        <f t="shared" si="604"/>
        <v>519254.18</v>
      </c>
      <c r="F1518" s="97">
        <f t="shared" si="604"/>
        <v>91800</v>
      </c>
      <c r="G1518" s="97">
        <f t="shared" si="604"/>
        <v>0</v>
      </c>
      <c r="H1518" s="31"/>
      <c r="I1518" s="31"/>
      <c r="J1518" s="31"/>
      <c r="K1518" s="31"/>
      <c r="L1518" s="97">
        <f t="shared" si="605"/>
        <v>0</v>
      </c>
      <c r="M1518" s="97">
        <f t="shared" si="605"/>
        <v>1198377.92</v>
      </c>
      <c r="N1518" s="97">
        <f t="shared" si="605"/>
        <v>0</v>
      </c>
      <c r="O1518" s="97">
        <f t="shared" si="605"/>
        <v>0</v>
      </c>
      <c r="P1518" s="97">
        <f t="shared" si="605"/>
        <v>0</v>
      </c>
    </row>
    <row r="1519" spans="1:16" s="1" customFormat="1">
      <c r="A1519" s="100"/>
      <c r="B1519" s="105" t="s">
        <v>31</v>
      </c>
      <c r="C1519" s="97">
        <f t="shared" si="604"/>
        <v>204672.02000000002</v>
      </c>
      <c r="D1519" s="97">
        <f t="shared" si="604"/>
        <v>496266.27</v>
      </c>
      <c r="E1519" s="97">
        <f t="shared" si="604"/>
        <v>204672.02000000002</v>
      </c>
      <c r="F1519" s="97">
        <f t="shared" si="604"/>
        <v>0</v>
      </c>
      <c r="G1519" s="97">
        <f t="shared" si="604"/>
        <v>0</v>
      </c>
      <c r="H1519" s="31"/>
      <c r="I1519" s="31"/>
      <c r="J1519" s="31"/>
      <c r="K1519" s="31"/>
      <c r="L1519" s="97">
        <f t="shared" si="605"/>
        <v>0</v>
      </c>
      <c r="M1519" s="97">
        <f t="shared" si="605"/>
        <v>496266.27</v>
      </c>
      <c r="N1519" s="97">
        <f t="shared" si="605"/>
        <v>0</v>
      </c>
      <c r="O1519" s="97">
        <f t="shared" si="605"/>
        <v>0</v>
      </c>
      <c r="P1519" s="97">
        <f t="shared" si="605"/>
        <v>0</v>
      </c>
    </row>
    <row r="1520" spans="1:16" s="1" customFormat="1" ht="30">
      <c r="A1520" s="100"/>
      <c r="B1520" s="106" t="s">
        <v>32</v>
      </c>
      <c r="C1520" s="97">
        <f t="shared" si="604"/>
        <v>0</v>
      </c>
      <c r="D1520" s="97">
        <f t="shared" si="604"/>
        <v>42153</v>
      </c>
      <c r="E1520" s="97">
        <f t="shared" si="604"/>
        <v>0</v>
      </c>
      <c r="F1520" s="97">
        <f t="shared" si="604"/>
        <v>0</v>
      </c>
      <c r="G1520" s="97">
        <f t="shared" si="604"/>
        <v>0</v>
      </c>
      <c r="H1520" s="31"/>
      <c r="I1520" s="31"/>
      <c r="J1520" s="31"/>
      <c r="K1520" s="31"/>
      <c r="L1520" s="97">
        <f t="shared" si="605"/>
        <v>0</v>
      </c>
      <c r="M1520" s="97">
        <f t="shared" si="605"/>
        <v>42153</v>
      </c>
      <c r="N1520" s="97">
        <f t="shared" si="605"/>
        <v>0</v>
      </c>
      <c r="O1520" s="97">
        <f t="shared" si="605"/>
        <v>0</v>
      </c>
      <c r="P1520" s="97">
        <f t="shared" si="605"/>
        <v>0</v>
      </c>
    </row>
    <row r="1521" spans="1:16" s="1" customFormat="1" ht="30">
      <c r="A1521" s="100"/>
      <c r="B1521" s="106" t="s">
        <v>33</v>
      </c>
      <c r="C1521" s="97">
        <f t="shared" si="604"/>
        <v>398654.27999999997</v>
      </c>
      <c r="D1521" s="97">
        <f t="shared" si="604"/>
        <v>174428.50999999995</v>
      </c>
      <c r="E1521" s="97">
        <f t="shared" si="604"/>
        <v>398654.27999999997</v>
      </c>
      <c r="F1521" s="97">
        <f t="shared" si="604"/>
        <v>0</v>
      </c>
      <c r="G1521" s="97">
        <f t="shared" si="604"/>
        <v>0</v>
      </c>
      <c r="H1521" s="31"/>
      <c r="I1521" s="31"/>
      <c r="J1521" s="31"/>
      <c r="K1521" s="31"/>
      <c r="L1521" s="97">
        <f t="shared" si="605"/>
        <v>0</v>
      </c>
      <c r="M1521" s="97">
        <f t="shared" si="605"/>
        <v>174428.50999999995</v>
      </c>
      <c r="N1521" s="97">
        <f t="shared" si="605"/>
        <v>0</v>
      </c>
      <c r="O1521" s="97">
        <f t="shared" si="605"/>
        <v>0</v>
      </c>
      <c r="P1521" s="97">
        <f t="shared" si="605"/>
        <v>0</v>
      </c>
    </row>
    <row r="1522" spans="1:16" s="1" customFormat="1" ht="30">
      <c r="A1522" s="100"/>
      <c r="B1522" s="107" t="s">
        <v>34</v>
      </c>
      <c r="C1522" s="97">
        <f t="shared" si="604"/>
        <v>35288</v>
      </c>
      <c r="D1522" s="97">
        <f t="shared" si="604"/>
        <v>0</v>
      </c>
      <c r="E1522" s="97">
        <f t="shared" si="604"/>
        <v>35288</v>
      </c>
      <c r="F1522" s="97">
        <f t="shared" si="604"/>
        <v>0</v>
      </c>
      <c r="G1522" s="97">
        <f t="shared" si="604"/>
        <v>0</v>
      </c>
      <c r="H1522" s="31"/>
      <c r="I1522" s="31"/>
      <c r="J1522" s="31"/>
      <c r="K1522" s="31"/>
      <c r="L1522" s="97">
        <f t="shared" si="605"/>
        <v>0</v>
      </c>
      <c r="M1522" s="97">
        <f t="shared" si="605"/>
        <v>0</v>
      </c>
      <c r="N1522" s="97">
        <f t="shared" si="605"/>
        <v>0</v>
      </c>
      <c r="O1522" s="97">
        <f t="shared" si="605"/>
        <v>0</v>
      </c>
      <c r="P1522" s="97">
        <f t="shared" si="605"/>
        <v>0</v>
      </c>
    </row>
    <row r="1523" spans="1:16" s="1" customFormat="1">
      <c r="A1523" s="100"/>
      <c r="B1523" s="107" t="s">
        <v>35</v>
      </c>
      <c r="C1523" s="97">
        <f t="shared" si="604"/>
        <v>1963092.3900000001</v>
      </c>
      <c r="D1523" s="97">
        <f t="shared" si="604"/>
        <v>1007920.54</v>
      </c>
      <c r="E1523" s="97">
        <f t="shared" si="604"/>
        <v>434272.18</v>
      </c>
      <c r="F1523" s="97">
        <f t="shared" si="604"/>
        <v>0</v>
      </c>
      <c r="G1523" s="97">
        <f t="shared" si="604"/>
        <v>1528820.21</v>
      </c>
      <c r="H1523" s="31"/>
      <c r="I1523" s="31"/>
      <c r="J1523" s="31"/>
      <c r="K1523" s="31"/>
      <c r="L1523" s="97">
        <f t="shared" si="605"/>
        <v>0</v>
      </c>
      <c r="M1523" s="97">
        <f t="shared" si="605"/>
        <v>1007920.54</v>
      </c>
      <c r="N1523" s="97">
        <f t="shared" si="605"/>
        <v>0</v>
      </c>
      <c r="O1523" s="97">
        <f t="shared" si="605"/>
        <v>0</v>
      </c>
      <c r="P1523" s="97">
        <f t="shared" si="605"/>
        <v>0</v>
      </c>
    </row>
    <row r="1524" spans="1:16" s="1" customFormat="1" ht="30">
      <c r="A1524" s="100"/>
      <c r="B1524" s="102" t="s">
        <v>36</v>
      </c>
      <c r="C1524" s="97">
        <f t="shared" si="604"/>
        <v>0</v>
      </c>
      <c r="D1524" s="97">
        <f t="shared" si="604"/>
        <v>0</v>
      </c>
      <c r="E1524" s="97">
        <f t="shared" si="604"/>
        <v>0</v>
      </c>
      <c r="F1524" s="97">
        <f t="shared" si="604"/>
        <v>0</v>
      </c>
      <c r="G1524" s="97">
        <f t="shared" si="604"/>
        <v>0</v>
      </c>
      <c r="H1524" s="31"/>
      <c r="I1524" s="31"/>
      <c r="J1524" s="31"/>
      <c r="K1524" s="31"/>
      <c r="L1524" s="97">
        <f t="shared" si="605"/>
        <v>0</v>
      </c>
      <c r="M1524" s="97">
        <f t="shared" si="605"/>
        <v>0</v>
      </c>
      <c r="N1524" s="97">
        <f t="shared" si="605"/>
        <v>0</v>
      </c>
      <c r="O1524" s="97">
        <f t="shared" si="605"/>
        <v>0</v>
      </c>
      <c r="P1524" s="97">
        <f t="shared" si="605"/>
        <v>0</v>
      </c>
    </row>
    <row r="1525" spans="1:16" s="1" customFormat="1">
      <c r="A1525" s="100"/>
      <c r="B1525" s="106" t="s">
        <v>37</v>
      </c>
      <c r="C1525" s="97">
        <f t="shared" si="604"/>
        <v>1392491.5799999998</v>
      </c>
      <c r="D1525" s="97">
        <f t="shared" si="604"/>
        <v>370304.18</v>
      </c>
      <c r="E1525" s="97">
        <f t="shared" si="604"/>
        <v>1392491.5799999998</v>
      </c>
      <c r="F1525" s="97">
        <f t="shared" si="604"/>
        <v>0</v>
      </c>
      <c r="G1525" s="97">
        <f t="shared" si="604"/>
        <v>0</v>
      </c>
      <c r="H1525" s="31"/>
      <c r="I1525" s="31"/>
      <c r="J1525" s="31"/>
      <c r="K1525" s="31"/>
      <c r="L1525" s="97">
        <f t="shared" si="605"/>
        <v>0</v>
      </c>
      <c r="M1525" s="97">
        <f t="shared" si="605"/>
        <v>370304.18</v>
      </c>
      <c r="N1525" s="97">
        <f t="shared" si="605"/>
        <v>0</v>
      </c>
      <c r="O1525" s="97">
        <f t="shared" si="605"/>
        <v>0</v>
      </c>
      <c r="P1525" s="97">
        <f t="shared" si="605"/>
        <v>0</v>
      </c>
    </row>
    <row r="1526" spans="1:16" s="1" customFormat="1" ht="30">
      <c r="A1526" s="100"/>
      <c r="B1526" s="106" t="s">
        <v>38</v>
      </c>
      <c r="C1526" s="97">
        <f t="shared" si="604"/>
        <v>272466.73</v>
      </c>
      <c r="D1526" s="97">
        <f t="shared" si="604"/>
        <v>16093359.32</v>
      </c>
      <c r="E1526" s="97">
        <f t="shared" si="604"/>
        <v>37470</v>
      </c>
      <c r="F1526" s="97">
        <f t="shared" si="604"/>
        <v>17980</v>
      </c>
      <c r="G1526" s="97">
        <f t="shared" si="604"/>
        <v>217016.73</v>
      </c>
      <c r="H1526" s="31"/>
      <c r="I1526" s="31"/>
      <c r="J1526" s="31"/>
      <c r="K1526" s="31"/>
      <c r="L1526" s="97">
        <f t="shared" si="605"/>
        <v>0</v>
      </c>
      <c r="M1526" s="97">
        <f t="shared" si="605"/>
        <v>16093359.32</v>
      </c>
      <c r="N1526" s="97">
        <f t="shared" si="605"/>
        <v>0</v>
      </c>
      <c r="O1526" s="97">
        <f t="shared" si="605"/>
        <v>0</v>
      </c>
      <c r="P1526" s="97">
        <f t="shared" si="605"/>
        <v>0</v>
      </c>
    </row>
    <row r="1527" spans="1:16" s="1" customFormat="1" ht="30">
      <c r="A1527" s="100"/>
      <c r="B1527" s="108" t="s">
        <v>39</v>
      </c>
      <c r="C1527" s="104">
        <f t="shared" ref="C1527:G1527" si="606">SUM(C1528:C1534)</f>
        <v>194014.69</v>
      </c>
      <c r="D1527" s="104">
        <f t="shared" si="606"/>
        <v>1369019.13</v>
      </c>
      <c r="E1527" s="104">
        <f t="shared" si="606"/>
        <v>64366.76</v>
      </c>
      <c r="F1527" s="104">
        <f t="shared" si="606"/>
        <v>0</v>
      </c>
      <c r="G1527" s="104">
        <f t="shared" si="606"/>
        <v>129647.93</v>
      </c>
      <c r="H1527" s="31"/>
      <c r="I1527" s="31"/>
      <c r="J1527" s="31"/>
      <c r="K1527" s="31"/>
      <c r="L1527" s="104">
        <f t="shared" ref="L1527:P1527" si="607">SUM(L1528:L1534)</f>
        <v>0</v>
      </c>
      <c r="M1527" s="104">
        <f t="shared" si="607"/>
        <v>1369019.13</v>
      </c>
      <c r="N1527" s="104">
        <f t="shared" si="607"/>
        <v>0</v>
      </c>
      <c r="O1527" s="104">
        <f t="shared" si="607"/>
        <v>0</v>
      </c>
      <c r="P1527" s="104">
        <f t="shared" si="607"/>
        <v>0</v>
      </c>
    </row>
    <row r="1528" spans="1:16" s="1" customFormat="1" ht="30">
      <c r="A1528" s="100" t="s">
        <v>40</v>
      </c>
      <c r="B1528" s="106" t="s">
        <v>41</v>
      </c>
      <c r="C1528" s="97">
        <f t="shared" ref="C1528:G1534" si="608">C688+C718+C748+C778+C808+C838+C868+C898+C928+C958+C988+C1018+C1048+C1078+C1108+C1138+C1168+C1198+C1228+C1258+C1288+C1318+C1348+C1378+C1408+C1438+C1468+C1498</f>
        <v>0</v>
      </c>
      <c r="D1528" s="97">
        <f t="shared" si="608"/>
        <v>87120.510000000009</v>
      </c>
      <c r="E1528" s="97">
        <f t="shared" si="608"/>
        <v>0</v>
      </c>
      <c r="F1528" s="97">
        <f t="shared" si="608"/>
        <v>0</v>
      </c>
      <c r="G1528" s="97">
        <f t="shared" si="608"/>
        <v>0</v>
      </c>
      <c r="H1528" s="31"/>
      <c r="I1528" s="31"/>
      <c r="J1528" s="31"/>
      <c r="K1528" s="31"/>
      <c r="L1528" s="97">
        <f t="shared" ref="L1528:P1534" si="609">L688+L718+L748+L778+L808+L838+L868+L898+L928+L958+L988+L1018+L1048+L1078+L1108+L1138+L1168+L1198+L1228+L1258+L1288+L1318+L1348+L1378+L1408+L1438+L1468+L1498</f>
        <v>0</v>
      </c>
      <c r="M1528" s="97">
        <f t="shared" si="609"/>
        <v>87120.510000000009</v>
      </c>
      <c r="N1528" s="97">
        <f t="shared" si="609"/>
        <v>0</v>
      </c>
      <c r="O1528" s="97">
        <f t="shared" si="609"/>
        <v>0</v>
      </c>
      <c r="P1528" s="97">
        <f t="shared" si="609"/>
        <v>0</v>
      </c>
    </row>
    <row r="1529" spans="1:16" s="1" customFormat="1">
      <c r="A1529" s="100"/>
      <c r="B1529" s="106" t="s">
        <v>42</v>
      </c>
      <c r="C1529" s="97">
        <f t="shared" si="608"/>
        <v>0</v>
      </c>
      <c r="D1529" s="97">
        <f t="shared" si="608"/>
        <v>11615.45</v>
      </c>
      <c r="E1529" s="97">
        <f t="shared" si="608"/>
        <v>0</v>
      </c>
      <c r="F1529" s="97">
        <f t="shared" si="608"/>
        <v>0</v>
      </c>
      <c r="G1529" s="97">
        <f t="shared" si="608"/>
        <v>0</v>
      </c>
      <c r="H1529" s="31"/>
      <c r="I1529" s="31"/>
      <c r="J1529" s="31"/>
      <c r="K1529" s="31"/>
      <c r="L1529" s="97">
        <f t="shared" si="609"/>
        <v>0</v>
      </c>
      <c r="M1529" s="97">
        <f t="shared" si="609"/>
        <v>11615.45</v>
      </c>
      <c r="N1529" s="97">
        <f t="shared" si="609"/>
        <v>0</v>
      </c>
      <c r="O1529" s="97">
        <f t="shared" si="609"/>
        <v>0</v>
      </c>
      <c r="P1529" s="97">
        <f t="shared" si="609"/>
        <v>0</v>
      </c>
    </row>
    <row r="1530" spans="1:16" s="1" customFormat="1">
      <c r="A1530" s="100"/>
      <c r="B1530" s="106" t="s">
        <v>43</v>
      </c>
      <c r="C1530" s="97">
        <f t="shared" si="608"/>
        <v>0</v>
      </c>
      <c r="D1530" s="97">
        <f t="shared" si="608"/>
        <v>200</v>
      </c>
      <c r="E1530" s="97">
        <f t="shared" si="608"/>
        <v>0</v>
      </c>
      <c r="F1530" s="97">
        <f t="shared" si="608"/>
        <v>0</v>
      </c>
      <c r="G1530" s="97">
        <f t="shared" si="608"/>
        <v>0</v>
      </c>
      <c r="H1530" s="31"/>
      <c r="I1530" s="31"/>
      <c r="J1530" s="31"/>
      <c r="K1530" s="31"/>
      <c r="L1530" s="97">
        <f t="shared" si="609"/>
        <v>0</v>
      </c>
      <c r="M1530" s="97">
        <f t="shared" si="609"/>
        <v>200</v>
      </c>
      <c r="N1530" s="97">
        <f t="shared" si="609"/>
        <v>0</v>
      </c>
      <c r="O1530" s="97">
        <f t="shared" si="609"/>
        <v>0</v>
      </c>
      <c r="P1530" s="97">
        <f t="shared" si="609"/>
        <v>0</v>
      </c>
    </row>
    <row r="1531" spans="1:16" s="1" customFormat="1">
      <c r="A1531" s="100"/>
      <c r="B1531" s="106" t="s">
        <v>44</v>
      </c>
      <c r="C1531" s="97">
        <f t="shared" si="608"/>
        <v>129647.93</v>
      </c>
      <c r="D1531" s="97">
        <f t="shared" si="608"/>
        <v>0</v>
      </c>
      <c r="E1531" s="97">
        <f t="shared" si="608"/>
        <v>0</v>
      </c>
      <c r="F1531" s="97">
        <f t="shared" si="608"/>
        <v>0</v>
      </c>
      <c r="G1531" s="97">
        <f t="shared" si="608"/>
        <v>129647.93</v>
      </c>
      <c r="H1531" s="31"/>
      <c r="I1531" s="31"/>
      <c r="J1531" s="31"/>
      <c r="K1531" s="31"/>
      <c r="L1531" s="97">
        <f t="shared" si="609"/>
        <v>0</v>
      </c>
      <c r="M1531" s="97">
        <f t="shared" si="609"/>
        <v>0</v>
      </c>
      <c r="N1531" s="97">
        <f t="shared" si="609"/>
        <v>0</v>
      </c>
      <c r="O1531" s="97">
        <f t="shared" si="609"/>
        <v>0</v>
      </c>
      <c r="P1531" s="97">
        <f t="shared" si="609"/>
        <v>0</v>
      </c>
    </row>
    <row r="1532" spans="1:16" s="1" customFormat="1">
      <c r="A1532" s="100"/>
      <c r="B1532" s="106" t="s">
        <v>45</v>
      </c>
      <c r="C1532" s="97">
        <f t="shared" si="608"/>
        <v>10771.76</v>
      </c>
      <c r="D1532" s="97">
        <f t="shared" si="608"/>
        <v>133850.64000000001</v>
      </c>
      <c r="E1532" s="97">
        <f t="shared" si="608"/>
        <v>10771.76</v>
      </c>
      <c r="F1532" s="97">
        <f t="shared" si="608"/>
        <v>0</v>
      </c>
      <c r="G1532" s="97">
        <f t="shared" si="608"/>
        <v>0</v>
      </c>
      <c r="H1532" s="31"/>
      <c r="I1532" s="31"/>
      <c r="J1532" s="31"/>
      <c r="K1532" s="31"/>
      <c r="L1532" s="97">
        <f t="shared" si="609"/>
        <v>0</v>
      </c>
      <c r="M1532" s="97">
        <f t="shared" si="609"/>
        <v>133850.64000000001</v>
      </c>
      <c r="N1532" s="97">
        <f t="shared" si="609"/>
        <v>0</v>
      </c>
      <c r="O1532" s="97">
        <f t="shared" si="609"/>
        <v>0</v>
      </c>
      <c r="P1532" s="97">
        <f t="shared" si="609"/>
        <v>0</v>
      </c>
    </row>
    <row r="1533" spans="1:16" s="1" customFormat="1" ht="30">
      <c r="A1533" s="100"/>
      <c r="B1533" s="106" t="s">
        <v>46</v>
      </c>
      <c r="C1533" s="97">
        <f t="shared" si="608"/>
        <v>0</v>
      </c>
      <c r="D1533" s="97">
        <f t="shared" si="608"/>
        <v>17500</v>
      </c>
      <c r="E1533" s="97">
        <f t="shared" si="608"/>
        <v>0</v>
      </c>
      <c r="F1533" s="97">
        <f t="shared" si="608"/>
        <v>0</v>
      </c>
      <c r="G1533" s="97">
        <f t="shared" si="608"/>
        <v>0</v>
      </c>
      <c r="H1533" s="31"/>
      <c r="I1533" s="31"/>
      <c r="J1533" s="31"/>
      <c r="K1533" s="31"/>
      <c r="L1533" s="97">
        <f t="shared" si="609"/>
        <v>0</v>
      </c>
      <c r="M1533" s="97">
        <f t="shared" si="609"/>
        <v>17500</v>
      </c>
      <c r="N1533" s="97">
        <f t="shared" si="609"/>
        <v>0</v>
      </c>
      <c r="O1533" s="97">
        <f t="shared" si="609"/>
        <v>0</v>
      </c>
      <c r="P1533" s="97">
        <f t="shared" si="609"/>
        <v>0</v>
      </c>
    </row>
    <row r="1534" spans="1:16" s="1" customFormat="1">
      <c r="A1534" s="100"/>
      <c r="B1534" s="106" t="s">
        <v>47</v>
      </c>
      <c r="C1534" s="97">
        <f t="shared" si="608"/>
        <v>53595</v>
      </c>
      <c r="D1534" s="97">
        <f t="shared" si="608"/>
        <v>1118732.5299999998</v>
      </c>
      <c r="E1534" s="97">
        <f t="shared" si="608"/>
        <v>53595</v>
      </c>
      <c r="F1534" s="97">
        <f t="shared" si="608"/>
        <v>0</v>
      </c>
      <c r="G1534" s="97">
        <f t="shared" si="608"/>
        <v>0</v>
      </c>
      <c r="H1534" s="31"/>
      <c r="I1534" s="31"/>
      <c r="J1534" s="31"/>
      <c r="K1534" s="31"/>
      <c r="L1534" s="97">
        <f t="shared" si="609"/>
        <v>0</v>
      </c>
      <c r="M1534" s="97">
        <f t="shared" si="609"/>
        <v>1118732.5299999998</v>
      </c>
      <c r="N1534" s="97">
        <f t="shared" si="609"/>
        <v>0</v>
      </c>
      <c r="O1534" s="97">
        <f t="shared" si="609"/>
        <v>0</v>
      </c>
      <c r="P1534" s="97">
        <f t="shared" si="609"/>
        <v>0</v>
      </c>
    </row>
    <row r="1535" spans="1:16" s="1" customFormat="1" ht="36.75" customHeight="1">
      <c r="A1535" s="211" t="s">
        <v>3</v>
      </c>
      <c r="B1535" s="213" t="s">
        <v>4</v>
      </c>
      <c r="C1535" s="213" t="s">
        <v>5</v>
      </c>
      <c r="D1535" s="10" t="s">
        <v>6</v>
      </c>
      <c r="E1535" s="215" t="s">
        <v>7</v>
      </c>
      <c r="F1535" s="216"/>
      <c r="G1535" s="217"/>
      <c r="H1535" s="218" t="s">
        <v>8</v>
      </c>
      <c r="I1535" s="218"/>
      <c r="J1535" s="218"/>
      <c r="K1535" s="11"/>
      <c r="L1535" s="219" t="s">
        <v>9</v>
      </c>
      <c r="M1535" s="12" t="s">
        <v>6</v>
      </c>
      <c r="N1535" s="208" t="s">
        <v>10</v>
      </c>
      <c r="O1535" s="209"/>
      <c r="P1535" s="210"/>
    </row>
    <row r="1536" spans="1:16" s="1" customFormat="1" ht="47.25" customHeight="1">
      <c r="A1536" s="212"/>
      <c r="B1536" s="214"/>
      <c r="C1536" s="214"/>
      <c r="D1536" s="13" t="s">
        <v>11</v>
      </c>
      <c r="E1536" s="13" t="s">
        <v>12</v>
      </c>
      <c r="F1536" s="13" t="s">
        <v>13</v>
      </c>
      <c r="G1536" s="13" t="s">
        <v>14</v>
      </c>
      <c r="H1536" s="14" t="s">
        <v>15</v>
      </c>
      <c r="I1536" s="14" t="s">
        <v>16</v>
      </c>
      <c r="J1536" s="14" t="s">
        <v>17</v>
      </c>
      <c r="K1536" s="14" t="s">
        <v>18</v>
      </c>
      <c r="L1536" s="220"/>
      <c r="M1536" s="15" t="s">
        <v>11</v>
      </c>
      <c r="N1536" s="15" t="s">
        <v>12</v>
      </c>
      <c r="O1536" s="15" t="s">
        <v>13</v>
      </c>
      <c r="P1536" s="15" t="s">
        <v>14</v>
      </c>
    </row>
    <row r="1537" spans="1:16" s="1" customFormat="1" ht="30">
      <c r="A1537" s="109">
        <v>1</v>
      </c>
      <c r="B1537" s="110" t="s">
        <v>98</v>
      </c>
      <c r="C1537" s="111">
        <f t="shared" ref="C1537:G1537" si="610">C1538+C1539+C1540+C1541+C1542+C1543+C1544+C1545+C1550+C1551+C1552+C1553+C1554+C1555+C1556+C1557</f>
        <v>519270.8</v>
      </c>
      <c r="D1537" s="111">
        <f t="shared" si="610"/>
        <v>647500.46000000008</v>
      </c>
      <c r="E1537" s="111">
        <f t="shared" si="610"/>
        <v>519270.8</v>
      </c>
      <c r="F1537" s="111">
        <f t="shared" si="610"/>
        <v>0</v>
      </c>
      <c r="G1537" s="111">
        <f t="shared" si="610"/>
        <v>0</v>
      </c>
      <c r="H1537" s="112"/>
      <c r="I1537" s="113"/>
      <c r="J1537" s="113"/>
      <c r="K1537" s="114"/>
      <c r="L1537" s="111">
        <f t="shared" ref="L1537:P1537" si="611">L1538+L1539+L1540+L1541+L1542+L1543+L1544+L1545+L1550+L1551+L1552+L1553+L1554+L1555+L1556+L1557</f>
        <v>0</v>
      </c>
      <c r="M1537" s="111">
        <f t="shared" si="611"/>
        <v>647500.46000000008</v>
      </c>
      <c r="N1537" s="111">
        <f t="shared" si="611"/>
        <v>0</v>
      </c>
      <c r="O1537" s="111">
        <f t="shared" si="611"/>
        <v>0</v>
      </c>
      <c r="P1537" s="111">
        <f t="shared" si="611"/>
        <v>0</v>
      </c>
    </row>
    <row r="1538" spans="1:16" s="1" customFormat="1">
      <c r="A1538" s="22"/>
      <c r="B1538" s="23" t="s">
        <v>20</v>
      </c>
      <c r="C1538" s="24">
        <f t="shared" ref="C1538:C1544" si="612">E1538+F1538+G1538</f>
        <v>0</v>
      </c>
      <c r="D1538" s="25"/>
      <c r="E1538" s="25"/>
      <c r="F1538" s="25"/>
      <c r="G1538" s="25"/>
      <c r="H1538" s="60"/>
      <c r="I1538" s="61"/>
      <c r="J1538" s="61"/>
      <c r="K1538" s="27"/>
      <c r="L1538" s="24">
        <f t="shared" ref="L1538:L1544" si="613">N1538+O1538+P1538</f>
        <v>0</v>
      </c>
      <c r="M1538" s="25"/>
      <c r="N1538" s="25"/>
      <c r="O1538" s="25"/>
      <c r="P1538" s="25"/>
    </row>
    <row r="1539" spans="1:16" s="1" customFormat="1">
      <c r="A1539" s="28"/>
      <c r="B1539" s="29" t="s">
        <v>21</v>
      </c>
      <c r="C1539" s="24">
        <f t="shared" si="612"/>
        <v>239009.7</v>
      </c>
      <c r="D1539" s="30"/>
      <c r="E1539" s="30">
        <f>198397.97+40611.73</f>
        <v>239009.7</v>
      </c>
      <c r="F1539" s="30"/>
      <c r="G1539" s="30"/>
      <c r="H1539" s="31"/>
      <c r="I1539" s="31"/>
      <c r="J1539" s="31"/>
      <c r="K1539" s="31"/>
      <c r="L1539" s="24">
        <f t="shared" si="613"/>
        <v>0</v>
      </c>
      <c r="M1539" s="30"/>
      <c r="N1539" s="30"/>
      <c r="O1539" s="30"/>
      <c r="P1539" s="30"/>
    </row>
    <row r="1540" spans="1:16" s="1" customFormat="1">
      <c r="A1540" s="28"/>
      <c r="B1540" s="32" t="s">
        <v>22</v>
      </c>
      <c r="C1540" s="24">
        <f t="shared" si="612"/>
        <v>0</v>
      </c>
      <c r="D1540" s="30"/>
      <c r="E1540" s="30"/>
      <c r="F1540" s="30"/>
      <c r="G1540" s="30"/>
      <c r="H1540" s="31"/>
      <c r="I1540" s="31"/>
      <c r="J1540" s="31"/>
      <c r="K1540" s="31"/>
      <c r="L1540" s="24">
        <f t="shared" si="613"/>
        <v>0</v>
      </c>
      <c r="M1540" s="30"/>
      <c r="N1540" s="30"/>
      <c r="O1540" s="30"/>
      <c r="P1540" s="30"/>
    </row>
    <row r="1541" spans="1:16" s="1" customFormat="1">
      <c r="A1541" s="28"/>
      <c r="B1541" s="32" t="s">
        <v>23</v>
      </c>
      <c r="C1541" s="24">
        <f t="shared" si="612"/>
        <v>0</v>
      </c>
      <c r="D1541" s="30">
        <v>334009.13</v>
      </c>
      <c r="E1541" s="30"/>
      <c r="F1541" s="30"/>
      <c r="G1541" s="30"/>
      <c r="H1541" s="31"/>
      <c r="I1541" s="31"/>
      <c r="J1541" s="31"/>
      <c r="K1541" s="31"/>
      <c r="L1541" s="24">
        <f t="shared" si="613"/>
        <v>0</v>
      </c>
      <c r="M1541" s="30">
        <v>334009.13</v>
      </c>
      <c r="N1541" s="30"/>
      <c r="O1541" s="30"/>
      <c r="P1541" s="30"/>
    </row>
    <row r="1542" spans="1:16" s="1" customFormat="1">
      <c r="A1542" s="28"/>
      <c r="B1542" s="29" t="s">
        <v>24</v>
      </c>
      <c r="C1542" s="24">
        <f t="shared" si="612"/>
        <v>2787.95</v>
      </c>
      <c r="D1542" s="30">
        <f>199746.19+25083.93</f>
        <v>224830.12</v>
      </c>
      <c r="E1542" s="30">
        <f>2787.95</f>
        <v>2787.95</v>
      </c>
      <c r="F1542" s="30"/>
      <c r="G1542" s="30"/>
      <c r="H1542" s="31"/>
      <c r="I1542" s="31"/>
      <c r="J1542" s="31"/>
      <c r="K1542" s="31"/>
      <c r="L1542" s="24">
        <f t="shared" si="613"/>
        <v>0</v>
      </c>
      <c r="M1542" s="30">
        <f>199746.19+25083.93</f>
        <v>224830.12</v>
      </c>
      <c r="N1542" s="30"/>
      <c r="O1542" s="30"/>
      <c r="P1542" s="30"/>
    </row>
    <row r="1543" spans="1:16" s="1" customFormat="1">
      <c r="A1543" s="28"/>
      <c r="B1543" s="34" t="s">
        <v>25</v>
      </c>
      <c r="C1543" s="24">
        <f t="shared" si="612"/>
        <v>25144.65</v>
      </c>
      <c r="D1543" s="30"/>
      <c r="E1543" s="30">
        <v>25144.65</v>
      </c>
      <c r="F1543" s="30"/>
      <c r="G1543" s="30"/>
      <c r="H1543" s="31"/>
      <c r="I1543" s="31"/>
      <c r="J1543" s="31"/>
      <c r="K1543" s="31"/>
      <c r="L1543" s="24">
        <f t="shared" si="613"/>
        <v>0</v>
      </c>
      <c r="M1543" s="30"/>
      <c r="N1543" s="30"/>
      <c r="O1543" s="30"/>
      <c r="P1543" s="30"/>
    </row>
    <row r="1544" spans="1:16" s="1" customFormat="1">
      <c r="A1544" s="28"/>
      <c r="B1544" s="32" t="s">
        <v>26</v>
      </c>
      <c r="C1544" s="24">
        <f t="shared" si="612"/>
        <v>0</v>
      </c>
      <c r="D1544" s="30"/>
      <c r="E1544" s="30"/>
      <c r="F1544" s="30"/>
      <c r="G1544" s="30"/>
      <c r="H1544" s="31"/>
      <c r="I1544" s="31"/>
      <c r="J1544" s="31"/>
      <c r="K1544" s="31"/>
      <c r="L1544" s="24">
        <f t="shared" si="613"/>
        <v>0</v>
      </c>
      <c r="M1544" s="30"/>
      <c r="N1544" s="30"/>
      <c r="O1544" s="30"/>
      <c r="P1544" s="30"/>
    </row>
    <row r="1545" spans="1:16" s="1" customFormat="1" ht="30">
      <c r="A1545" s="28"/>
      <c r="B1545" s="35" t="s">
        <v>27</v>
      </c>
      <c r="C1545" s="36">
        <f t="shared" ref="C1545:G1545" si="614">SUM(C1546:C1549)</f>
        <v>208762.09</v>
      </c>
      <c r="D1545" s="36">
        <f t="shared" si="614"/>
        <v>87264.57</v>
      </c>
      <c r="E1545" s="36">
        <f t="shared" si="614"/>
        <v>208762.09</v>
      </c>
      <c r="F1545" s="36">
        <f t="shared" si="614"/>
        <v>0</v>
      </c>
      <c r="G1545" s="36">
        <f t="shared" si="614"/>
        <v>0</v>
      </c>
      <c r="H1545" s="31"/>
      <c r="I1545" s="31"/>
      <c r="J1545" s="31"/>
      <c r="K1545" s="31"/>
      <c r="L1545" s="36">
        <f t="shared" ref="L1545:P1545" si="615">SUM(L1546:L1549)</f>
        <v>0</v>
      </c>
      <c r="M1545" s="36">
        <f t="shared" si="615"/>
        <v>87264.57</v>
      </c>
      <c r="N1545" s="36">
        <f t="shared" si="615"/>
        <v>0</v>
      </c>
      <c r="O1545" s="36">
        <f t="shared" si="615"/>
        <v>0</v>
      </c>
      <c r="P1545" s="36">
        <f t="shared" si="615"/>
        <v>0</v>
      </c>
    </row>
    <row r="1546" spans="1:16" s="1" customFormat="1">
      <c r="A1546" s="28"/>
      <c r="B1546" s="38" t="s">
        <v>28</v>
      </c>
      <c r="C1546" s="24">
        <f t="shared" ref="C1546:C1556" si="616">E1546+F1546+G1546</f>
        <v>201933.57</v>
      </c>
      <c r="D1546" s="30"/>
      <c r="E1546" s="30">
        <v>201933.57</v>
      </c>
      <c r="F1546" s="30"/>
      <c r="G1546" s="30"/>
      <c r="H1546" s="31"/>
      <c r="I1546" s="31"/>
      <c r="J1546" s="31"/>
      <c r="K1546" s="31"/>
      <c r="L1546" s="24">
        <f t="shared" ref="L1546:L1556" si="617">N1546+O1546+P1546</f>
        <v>0</v>
      </c>
      <c r="M1546" s="30"/>
      <c r="N1546" s="30"/>
      <c r="O1546" s="30"/>
      <c r="P1546" s="30"/>
    </row>
    <row r="1547" spans="1:16" s="1" customFormat="1">
      <c r="A1547" s="28"/>
      <c r="B1547" s="38" t="s">
        <v>29</v>
      </c>
      <c r="C1547" s="24">
        <f t="shared" si="616"/>
        <v>0</v>
      </c>
      <c r="D1547" s="30">
        <v>87264.57</v>
      </c>
      <c r="E1547" s="30"/>
      <c r="F1547" s="30"/>
      <c r="G1547" s="30"/>
      <c r="H1547" s="31"/>
      <c r="I1547" s="31"/>
      <c r="J1547" s="31"/>
      <c r="K1547" s="31"/>
      <c r="L1547" s="24">
        <f t="shared" si="617"/>
        <v>0</v>
      </c>
      <c r="M1547" s="30">
        <v>87264.57</v>
      </c>
      <c r="N1547" s="30"/>
      <c r="O1547" s="30"/>
      <c r="P1547" s="30"/>
    </row>
    <row r="1548" spans="1:16" s="1" customFormat="1">
      <c r="A1548" s="28"/>
      <c r="B1548" s="38" t="s">
        <v>30</v>
      </c>
      <c r="C1548" s="24">
        <f t="shared" si="616"/>
        <v>6828.52</v>
      </c>
      <c r="D1548" s="30"/>
      <c r="E1548" s="30">
        <v>6828.52</v>
      </c>
      <c r="F1548" s="30"/>
      <c r="G1548" s="30"/>
      <c r="H1548" s="31"/>
      <c r="I1548" s="31"/>
      <c r="J1548" s="31"/>
      <c r="K1548" s="31"/>
      <c r="L1548" s="24">
        <f t="shared" si="617"/>
        <v>0</v>
      </c>
      <c r="M1548" s="30"/>
      <c r="N1548" s="30"/>
      <c r="O1548" s="30"/>
      <c r="P1548" s="30"/>
    </row>
    <row r="1549" spans="1:16" s="1" customFormat="1">
      <c r="A1549" s="28"/>
      <c r="B1549" s="38" t="s">
        <v>31</v>
      </c>
      <c r="C1549" s="24">
        <f t="shared" si="616"/>
        <v>0</v>
      </c>
      <c r="D1549" s="30"/>
      <c r="E1549" s="30"/>
      <c r="F1549" s="30"/>
      <c r="G1549" s="30"/>
      <c r="H1549" s="31"/>
      <c r="I1549" s="31"/>
      <c r="J1549" s="31"/>
      <c r="K1549" s="31"/>
      <c r="L1549" s="24">
        <f t="shared" si="617"/>
        <v>0</v>
      </c>
      <c r="M1549" s="30"/>
      <c r="N1549" s="30"/>
      <c r="O1549" s="30"/>
      <c r="P1549" s="30"/>
    </row>
    <row r="1550" spans="1:16" s="1" customFormat="1" ht="30">
      <c r="A1550" s="28"/>
      <c r="B1550" s="39" t="s">
        <v>32</v>
      </c>
      <c r="C1550" s="24">
        <f t="shared" si="616"/>
        <v>0</v>
      </c>
      <c r="D1550" s="30"/>
      <c r="E1550" s="30"/>
      <c r="F1550" s="30"/>
      <c r="G1550" s="30"/>
      <c r="H1550" s="31"/>
      <c r="I1550" s="31"/>
      <c r="J1550" s="31"/>
      <c r="K1550" s="31"/>
      <c r="L1550" s="24">
        <f t="shared" si="617"/>
        <v>0</v>
      </c>
      <c r="M1550" s="30"/>
      <c r="N1550" s="30"/>
      <c r="O1550" s="30"/>
      <c r="P1550" s="30"/>
    </row>
    <row r="1551" spans="1:16" s="1" customFormat="1" ht="30">
      <c r="A1551" s="28"/>
      <c r="B1551" s="39" t="s">
        <v>33</v>
      </c>
      <c r="C1551" s="24">
        <f t="shared" si="616"/>
        <v>1816.37</v>
      </c>
      <c r="D1551" s="30"/>
      <c r="E1551" s="30">
        <f>1816.37</f>
        <v>1816.37</v>
      </c>
      <c r="F1551" s="30"/>
      <c r="G1551" s="30"/>
      <c r="H1551" s="31"/>
      <c r="I1551" s="31"/>
      <c r="J1551" s="31"/>
      <c r="K1551" s="31"/>
      <c r="L1551" s="24">
        <f t="shared" si="617"/>
        <v>0</v>
      </c>
      <c r="M1551" s="30"/>
      <c r="N1551" s="30"/>
      <c r="O1551" s="30"/>
      <c r="P1551" s="30"/>
    </row>
    <row r="1552" spans="1:16" s="1" customFormat="1" ht="30">
      <c r="A1552" s="28"/>
      <c r="B1552" s="40" t="s">
        <v>34</v>
      </c>
      <c r="C1552" s="24">
        <f t="shared" si="616"/>
        <v>0</v>
      </c>
      <c r="D1552" s="30"/>
      <c r="E1552" s="30"/>
      <c r="F1552" s="30"/>
      <c r="G1552" s="30"/>
      <c r="H1552" s="31"/>
      <c r="I1552" s="31"/>
      <c r="J1552" s="31"/>
      <c r="K1552" s="31"/>
      <c r="L1552" s="24">
        <f t="shared" si="617"/>
        <v>0</v>
      </c>
      <c r="M1552" s="30"/>
      <c r="N1552" s="30"/>
      <c r="O1552" s="30"/>
      <c r="P1552" s="30"/>
    </row>
    <row r="1553" spans="1:16" s="1" customFormat="1">
      <c r="A1553" s="28"/>
      <c r="B1553" s="40" t="s">
        <v>35</v>
      </c>
      <c r="C1553" s="24">
        <f t="shared" si="616"/>
        <v>0</v>
      </c>
      <c r="D1553" s="30"/>
      <c r="E1553" s="30"/>
      <c r="F1553" s="30"/>
      <c r="G1553" s="30"/>
      <c r="H1553" s="31"/>
      <c r="I1553" s="31"/>
      <c r="J1553" s="31"/>
      <c r="K1553" s="31"/>
      <c r="L1553" s="24">
        <f t="shared" si="617"/>
        <v>0</v>
      </c>
      <c r="M1553" s="30"/>
      <c r="N1553" s="30"/>
      <c r="O1553" s="30"/>
      <c r="P1553" s="30"/>
    </row>
    <row r="1554" spans="1:16" s="1" customFormat="1" ht="30">
      <c r="A1554" s="28"/>
      <c r="B1554" s="41" t="s">
        <v>36</v>
      </c>
      <c r="C1554" s="24">
        <f t="shared" si="616"/>
        <v>0</v>
      </c>
      <c r="D1554" s="30"/>
      <c r="E1554" s="30"/>
      <c r="F1554" s="30"/>
      <c r="G1554" s="30"/>
      <c r="H1554" s="31"/>
      <c r="I1554" s="31"/>
      <c r="J1554" s="31"/>
      <c r="K1554" s="31"/>
      <c r="L1554" s="24">
        <f t="shared" si="617"/>
        <v>0</v>
      </c>
      <c r="M1554" s="30"/>
      <c r="N1554" s="30"/>
      <c r="O1554" s="30"/>
      <c r="P1554" s="30"/>
    </row>
    <row r="1555" spans="1:16" s="1" customFormat="1">
      <c r="A1555" s="28"/>
      <c r="B1555" s="42" t="s">
        <v>37</v>
      </c>
      <c r="C1555" s="24">
        <f t="shared" si="616"/>
        <v>41750.04</v>
      </c>
      <c r="D1555" s="30"/>
      <c r="E1555" s="30">
        <v>41750.04</v>
      </c>
      <c r="F1555" s="30"/>
      <c r="G1555" s="30"/>
      <c r="H1555" s="31"/>
      <c r="I1555" s="31"/>
      <c r="J1555" s="31"/>
      <c r="K1555" s="31"/>
      <c r="L1555" s="24">
        <f t="shared" si="617"/>
        <v>0</v>
      </c>
      <c r="M1555" s="30"/>
      <c r="N1555" s="30"/>
      <c r="O1555" s="30"/>
      <c r="P1555" s="30"/>
    </row>
    <row r="1556" spans="1:16" s="1" customFormat="1" ht="30">
      <c r="A1556" s="28"/>
      <c r="B1556" s="42" t="s">
        <v>38</v>
      </c>
      <c r="C1556" s="24">
        <f t="shared" si="616"/>
        <v>0</v>
      </c>
      <c r="D1556" s="30"/>
      <c r="E1556" s="30"/>
      <c r="F1556" s="30"/>
      <c r="G1556" s="30"/>
      <c r="H1556" s="31"/>
      <c r="I1556" s="31"/>
      <c r="J1556" s="31"/>
      <c r="K1556" s="31"/>
      <c r="L1556" s="24">
        <f t="shared" si="617"/>
        <v>0</v>
      </c>
      <c r="M1556" s="30"/>
      <c r="N1556" s="30"/>
      <c r="O1556" s="30"/>
      <c r="P1556" s="30"/>
    </row>
    <row r="1557" spans="1:16" s="1" customFormat="1" ht="30">
      <c r="A1557" s="28"/>
      <c r="B1557" s="43" t="s">
        <v>39</v>
      </c>
      <c r="C1557" s="36">
        <f t="shared" ref="C1557:G1557" si="618">SUM(C1558:C1564)</f>
        <v>0</v>
      </c>
      <c r="D1557" s="36">
        <f t="shared" si="618"/>
        <v>1396.6399999999999</v>
      </c>
      <c r="E1557" s="36">
        <f t="shared" si="618"/>
        <v>0</v>
      </c>
      <c r="F1557" s="36">
        <f t="shared" si="618"/>
        <v>0</v>
      </c>
      <c r="G1557" s="36">
        <f t="shared" si="618"/>
        <v>0</v>
      </c>
      <c r="H1557" s="31"/>
      <c r="I1557" s="31"/>
      <c r="J1557" s="31"/>
      <c r="K1557" s="31"/>
      <c r="L1557" s="36">
        <f t="shared" ref="L1557:P1557" si="619">SUM(L1558:L1564)</f>
        <v>0</v>
      </c>
      <c r="M1557" s="36">
        <f t="shared" si="619"/>
        <v>1396.6399999999999</v>
      </c>
      <c r="N1557" s="36">
        <f t="shared" si="619"/>
        <v>0</v>
      </c>
      <c r="O1557" s="36">
        <f t="shared" si="619"/>
        <v>0</v>
      </c>
      <c r="P1557" s="36">
        <f t="shared" si="619"/>
        <v>0</v>
      </c>
    </row>
    <row r="1558" spans="1:16" s="1" customFormat="1" ht="30">
      <c r="A1558" s="28" t="s">
        <v>40</v>
      </c>
      <c r="B1558" s="39" t="s">
        <v>41</v>
      </c>
      <c r="C1558" s="24">
        <f t="shared" ref="C1558:C1564" si="620">E1558+F1558+G1558</f>
        <v>0</v>
      </c>
      <c r="D1558" s="30"/>
      <c r="E1558" s="30"/>
      <c r="F1558" s="30"/>
      <c r="G1558" s="30"/>
      <c r="H1558" s="31"/>
      <c r="I1558" s="31"/>
      <c r="J1558" s="31"/>
      <c r="K1558" s="31"/>
      <c r="L1558" s="24">
        <f t="shared" ref="L1558:L1564" si="621">N1558+O1558+P1558</f>
        <v>0</v>
      </c>
      <c r="M1558" s="30"/>
      <c r="N1558" s="30"/>
      <c r="O1558" s="30"/>
      <c r="P1558" s="30"/>
    </row>
    <row r="1559" spans="1:16" s="1" customFormat="1">
      <c r="A1559" s="28"/>
      <c r="B1559" s="39" t="s">
        <v>42</v>
      </c>
      <c r="C1559" s="24">
        <f t="shared" si="620"/>
        <v>0</v>
      </c>
      <c r="D1559" s="30"/>
      <c r="E1559" s="30"/>
      <c r="F1559" s="30"/>
      <c r="G1559" s="30"/>
      <c r="H1559" s="31"/>
      <c r="I1559" s="31"/>
      <c r="J1559" s="31"/>
      <c r="K1559" s="31"/>
      <c r="L1559" s="24">
        <f t="shared" si="621"/>
        <v>0</v>
      </c>
      <c r="M1559" s="30"/>
      <c r="N1559" s="30"/>
      <c r="O1559" s="30"/>
      <c r="P1559" s="30"/>
    </row>
    <row r="1560" spans="1:16" s="1" customFormat="1">
      <c r="A1560" s="28"/>
      <c r="B1560" s="39" t="s">
        <v>43</v>
      </c>
      <c r="C1560" s="24">
        <f t="shared" si="620"/>
        <v>0</v>
      </c>
      <c r="D1560" s="30"/>
      <c r="E1560" s="30"/>
      <c r="F1560" s="30"/>
      <c r="G1560" s="30"/>
      <c r="H1560" s="31"/>
      <c r="I1560" s="31"/>
      <c r="J1560" s="31"/>
      <c r="K1560" s="31"/>
      <c r="L1560" s="24">
        <f t="shared" si="621"/>
        <v>0</v>
      </c>
      <c r="M1560" s="30"/>
      <c r="N1560" s="30"/>
      <c r="O1560" s="30"/>
      <c r="P1560" s="30"/>
    </row>
    <row r="1561" spans="1:16" s="1" customFormat="1">
      <c r="A1561" s="28"/>
      <c r="B1561" s="39" t="s">
        <v>44</v>
      </c>
      <c r="C1561" s="24">
        <f t="shared" si="620"/>
        <v>0</v>
      </c>
      <c r="D1561" s="30"/>
      <c r="E1561" s="30"/>
      <c r="F1561" s="30"/>
      <c r="G1561" s="30"/>
      <c r="H1561" s="31"/>
      <c r="I1561" s="31"/>
      <c r="J1561" s="31"/>
      <c r="K1561" s="31"/>
      <c r="L1561" s="24">
        <f t="shared" si="621"/>
        <v>0</v>
      </c>
      <c r="M1561" s="30"/>
      <c r="N1561" s="30"/>
      <c r="O1561" s="30"/>
      <c r="P1561" s="30"/>
    </row>
    <row r="1562" spans="1:16" s="1" customFormat="1">
      <c r="A1562" s="28"/>
      <c r="B1562" s="39" t="s">
        <v>45</v>
      </c>
      <c r="C1562" s="24">
        <f t="shared" si="620"/>
        <v>0</v>
      </c>
      <c r="D1562" s="30">
        <v>810.64</v>
      </c>
      <c r="E1562" s="30"/>
      <c r="F1562" s="30"/>
      <c r="G1562" s="30"/>
      <c r="H1562" s="31"/>
      <c r="I1562" s="31"/>
      <c r="J1562" s="31"/>
      <c r="K1562" s="31"/>
      <c r="L1562" s="24">
        <f t="shared" si="621"/>
        <v>0</v>
      </c>
      <c r="M1562" s="30">
        <v>810.64</v>
      </c>
      <c r="N1562" s="30"/>
      <c r="O1562" s="30"/>
      <c r="P1562" s="30"/>
    </row>
    <row r="1563" spans="1:16" s="1" customFormat="1" ht="30">
      <c r="A1563" s="28"/>
      <c r="B1563" s="39" t="s">
        <v>46</v>
      </c>
      <c r="C1563" s="24">
        <f t="shared" si="620"/>
        <v>0</v>
      </c>
      <c r="D1563" s="30"/>
      <c r="E1563" s="30"/>
      <c r="F1563" s="30"/>
      <c r="G1563" s="30"/>
      <c r="H1563" s="31"/>
      <c r="I1563" s="31"/>
      <c r="J1563" s="31"/>
      <c r="K1563" s="31"/>
      <c r="L1563" s="24">
        <f t="shared" si="621"/>
        <v>0</v>
      </c>
      <c r="M1563" s="30"/>
      <c r="N1563" s="30"/>
      <c r="O1563" s="30"/>
      <c r="P1563" s="30"/>
    </row>
    <row r="1564" spans="1:16" s="1" customFormat="1">
      <c r="A1564" s="28"/>
      <c r="B1564" s="39" t="s">
        <v>47</v>
      </c>
      <c r="C1564" s="24">
        <f t="shared" si="620"/>
        <v>0</v>
      </c>
      <c r="D1564" s="30">
        <f>586</f>
        <v>586</v>
      </c>
      <c r="E1564" s="30"/>
      <c r="F1564" s="30"/>
      <c r="G1564" s="30"/>
      <c r="H1564" s="31"/>
      <c r="I1564" s="31"/>
      <c r="J1564" s="31"/>
      <c r="K1564" s="31"/>
      <c r="L1564" s="24">
        <f t="shared" si="621"/>
        <v>0</v>
      </c>
      <c r="M1564" s="30">
        <f>586</f>
        <v>586</v>
      </c>
      <c r="N1564" s="30"/>
      <c r="O1564" s="30"/>
      <c r="P1564" s="30"/>
    </row>
    <row r="1565" spans="1:16" s="1" customFormat="1" ht="36.75" customHeight="1">
      <c r="A1565" s="211" t="s">
        <v>3</v>
      </c>
      <c r="B1565" s="213" t="s">
        <v>4</v>
      </c>
      <c r="C1565" s="213" t="s">
        <v>5</v>
      </c>
      <c r="D1565" s="10" t="s">
        <v>6</v>
      </c>
      <c r="E1565" s="215" t="s">
        <v>7</v>
      </c>
      <c r="F1565" s="216"/>
      <c r="G1565" s="217"/>
      <c r="H1565" s="218" t="s">
        <v>8</v>
      </c>
      <c r="I1565" s="218"/>
      <c r="J1565" s="218"/>
      <c r="K1565" s="11"/>
      <c r="L1565" s="219" t="s">
        <v>9</v>
      </c>
      <c r="M1565" s="12" t="s">
        <v>6</v>
      </c>
      <c r="N1565" s="208" t="s">
        <v>10</v>
      </c>
      <c r="O1565" s="209"/>
      <c r="P1565" s="210"/>
    </row>
    <row r="1566" spans="1:16" s="1" customFormat="1" ht="47.25" customHeight="1">
      <c r="A1566" s="212"/>
      <c r="B1566" s="214"/>
      <c r="C1566" s="214"/>
      <c r="D1566" s="13" t="s">
        <v>11</v>
      </c>
      <c r="E1566" s="13" t="s">
        <v>12</v>
      </c>
      <c r="F1566" s="13" t="s">
        <v>13</v>
      </c>
      <c r="G1566" s="13" t="s">
        <v>14</v>
      </c>
      <c r="H1566" s="14" t="s">
        <v>15</v>
      </c>
      <c r="I1566" s="14" t="s">
        <v>16</v>
      </c>
      <c r="J1566" s="14" t="s">
        <v>17</v>
      </c>
      <c r="K1566" s="14" t="s">
        <v>18</v>
      </c>
      <c r="L1566" s="220"/>
      <c r="M1566" s="15" t="s">
        <v>11</v>
      </c>
      <c r="N1566" s="15" t="s">
        <v>12</v>
      </c>
      <c r="O1566" s="15" t="s">
        <v>13</v>
      </c>
      <c r="P1566" s="15" t="s">
        <v>14</v>
      </c>
    </row>
    <row r="1567" spans="1:16" s="1" customFormat="1">
      <c r="A1567" s="109">
        <v>2</v>
      </c>
      <c r="B1567" s="110" t="s">
        <v>99</v>
      </c>
      <c r="C1567" s="111">
        <f t="shared" ref="C1567:G1567" si="622">C1568+C1569+C1570+C1571+C1572+C1573+C1574+C1575+C1580+C1581+C1582+C1583+C1584+C1585+C1586+C1587</f>
        <v>0</v>
      </c>
      <c r="D1567" s="111">
        <f t="shared" si="622"/>
        <v>0</v>
      </c>
      <c r="E1567" s="111">
        <f t="shared" si="622"/>
        <v>0</v>
      </c>
      <c r="F1567" s="111">
        <f t="shared" si="622"/>
        <v>0</v>
      </c>
      <c r="G1567" s="111">
        <f t="shared" si="622"/>
        <v>0</v>
      </c>
      <c r="H1567" s="112"/>
      <c r="I1567" s="113"/>
      <c r="J1567" s="113"/>
      <c r="K1567" s="114"/>
      <c r="L1567" s="111">
        <f t="shared" ref="L1567:P1567" si="623">L1568+L1569+L1570+L1571+L1572+L1573+L1574+L1575+L1580+L1581+L1582+L1583+L1584+L1585+L1586+L1587</f>
        <v>0</v>
      </c>
      <c r="M1567" s="111">
        <f t="shared" si="623"/>
        <v>0</v>
      </c>
      <c r="N1567" s="111">
        <f t="shared" si="623"/>
        <v>0</v>
      </c>
      <c r="O1567" s="111">
        <f t="shared" si="623"/>
        <v>0</v>
      </c>
      <c r="P1567" s="111">
        <f t="shared" si="623"/>
        <v>0</v>
      </c>
    </row>
    <row r="1568" spans="1:16" s="5" customFormat="1">
      <c r="A1568" s="22"/>
      <c r="B1568" s="23" t="s">
        <v>20</v>
      </c>
      <c r="C1568" s="24">
        <f t="shared" ref="C1568:C1574" si="624">E1568+F1568+G1568</f>
        <v>0</v>
      </c>
      <c r="D1568" s="25"/>
      <c r="E1568" s="25"/>
      <c r="F1568" s="25"/>
      <c r="G1568" s="25"/>
      <c r="H1568" s="60"/>
      <c r="I1568" s="61"/>
      <c r="J1568" s="61"/>
      <c r="K1568" s="27"/>
      <c r="L1568" s="24">
        <f t="shared" ref="L1568:L1574" si="625">N1568+O1568+P1568</f>
        <v>0</v>
      </c>
      <c r="M1568" s="25"/>
      <c r="N1568" s="25"/>
      <c r="O1568" s="25"/>
      <c r="P1568" s="25"/>
    </row>
    <row r="1569" spans="1:16" s="1" customFormat="1">
      <c r="A1569" s="28"/>
      <c r="B1569" s="29" t="s">
        <v>21</v>
      </c>
      <c r="C1569" s="24">
        <f t="shared" si="624"/>
        <v>0</v>
      </c>
      <c r="D1569" s="30"/>
      <c r="E1569" s="30"/>
      <c r="F1569" s="30"/>
      <c r="G1569" s="30"/>
      <c r="H1569" s="31"/>
      <c r="I1569" s="31"/>
      <c r="J1569" s="31"/>
      <c r="K1569" s="31"/>
      <c r="L1569" s="24">
        <f t="shared" si="625"/>
        <v>0</v>
      </c>
      <c r="M1569" s="30"/>
      <c r="N1569" s="30"/>
      <c r="O1569" s="30"/>
      <c r="P1569" s="30"/>
    </row>
    <row r="1570" spans="1:16" s="1" customFormat="1">
      <c r="A1570" s="28"/>
      <c r="B1570" s="32" t="s">
        <v>22</v>
      </c>
      <c r="C1570" s="24">
        <f t="shared" si="624"/>
        <v>0</v>
      </c>
      <c r="D1570" s="30"/>
      <c r="E1570" s="30"/>
      <c r="F1570" s="30"/>
      <c r="G1570" s="30"/>
      <c r="H1570" s="31"/>
      <c r="I1570" s="31"/>
      <c r="J1570" s="31"/>
      <c r="K1570" s="31"/>
      <c r="L1570" s="24">
        <f t="shared" si="625"/>
        <v>0</v>
      </c>
      <c r="M1570" s="30"/>
      <c r="N1570" s="30"/>
      <c r="O1570" s="30"/>
      <c r="P1570" s="30"/>
    </row>
    <row r="1571" spans="1:16" s="1" customFormat="1">
      <c r="A1571" s="28"/>
      <c r="B1571" s="32" t="s">
        <v>23</v>
      </c>
      <c r="C1571" s="24">
        <f t="shared" si="624"/>
        <v>0</v>
      </c>
      <c r="D1571" s="30"/>
      <c r="E1571" s="30"/>
      <c r="F1571" s="30"/>
      <c r="G1571" s="30"/>
      <c r="H1571" s="31"/>
      <c r="I1571" s="31"/>
      <c r="J1571" s="31"/>
      <c r="K1571" s="31"/>
      <c r="L1571" s="24">
        <f t="shared" si="625"/>
        <v>0</v>
      </c>
      <c r="M1571" s="30"/>
      <c r="N1571" s="30"/>
      <c r="O1571" s="30"/>
      <c r="P1571" s="30"/>
    </row>
    <row r="1572" spans="1:16" s="1" customFormat="1">
      <c r="A1572" s="28"/>
      <c r="B1572" s="29" t="s">
        <v>24</v>
      </c>
      <c r="C1572" s="24">
        <f t="shared" si="624"/>
        <v>0</v>
      </c>
      <c r="D1572" s="30"/>
      <c r="E1572" s="30"/>
      <c r="F1572" s="30"/>
      <c r="G1572" s="30"/>
      <c r="H1572" s="31"/>
      <c r="I1572" s="31"/>
      <c r="J1572" s="31"/>
      <c r="K1572" s="31"/>
      <c r="L1572" s="24">
        <f t="shared" si="625"/>
        <v>0</v>
      </c>
      <c r="M1572" s="30"/>
      <c r="N1572" s="30"/>
      <c r="O1572" s="30"/>
      <c r="P1572" s="30"/>
    </row>
    <row r="1573" spans="1:16" s="1" customFormat="1">
      <c r="A1573" s="28"/>
      <c r="B1573" s="34" t="s">
        <v>25</v>
      </c>
      <c r="C1573" s="24">
        <f t="shared" si="624"/>
        <v>0</v>
      </c>
      <c r="D1573" s="30"/>
      <c r="E1573" s="30"/>
      <c r="F1573" s="30"/>
      <c r="G1573" s="30"/>
      <c r="H1573" s="31"/>
      <c r="I1573" s="31"/>
      <c r="J1573" s="31"/>
      <c r="K1573" s="31"/>
      <c r="L1573" s="24">
        <f t="shared" si="625"/>
        <v>0</v>
      </c>
      <c r="M1573" s="30"/>
      <c r="N1573" s="30"/>
      <c r="O1573" s="30"/>
      <c r="P1573" s="30"/>
    </row>
    <row r="1574" spans="1:16" s="1" customFormat="1">
      <c r="A1574" s="28"/>
      <c r="B1574" s="32" t="s">
        <v>26</v>
      </c>
      <c r="C1574" s="24">
        <f t="shared" si="624"/>
        <v>0</v>
      </c>
      <c r="D1574" s="30"/>
      <c r="E1574" s="30"/>
      <c r="F1574" s="30"/>
      <c r="G1574" s="30"/>
      <c r="H1574" s="31"/>
      <c r="I1574" s="31"/>
      <c r="J1574" s="31"/>
      <c r="K1574" s="31"/>
      <c r="L1574" s="24">
        <f t="shared" si="625"/>
        <v>0</v>
      </c>
      <c r="M1574" s="30"/>
      <c r="N1574" s="30"/>
      <c r="O1574" s="30"/>
      <c r="P1574" s="30"/>
    </row>
    <row r="1575" spans="1:16" s="1" customFormat="1" ht="30">
      <c r="A1575" s="28"/>
      <c r="B1575" s="35" t="s">
        <v>27</v>
      </c>
      <c r="C1575" s="36">
        <f t="shared" ref="C1575:G1575" si="626">SUM(C1576:C1579)</f>
        <v>0</v>
      </c>
      <c r="D1575" s="36">
        <f t="shared" si="626"/>
        <v>0</v>
      </c>
      <c r="E1575" s="36">
        <f t="shared" si="626"/>
        <v>0</v>
      </c>
      <c r="F1575" s="36">
        <f t="shared" si="626"/>
        <v>0</v>
      </c>
      <c r="G1575" s="36">
        <f t="shared" si="626"/>
        <v>0</v>
      </c>
      <c r="H1575" s="31"/>
      <c r="I1575" s="31"/>
      <c r="J1575" s="31"/>
      <c r="K1575" s="31"/>
      <c r="L1575" s="36">
        <f t="shared" ref="L1575:P1575" si="627">SUM(L1576:L1579)</f>
        <v>0</v>
      </c>
      <c r="M1575" s="36">
        <f t="shared" si="627"/>
        <v>0</v>
      </c>
      <c r="N1575" s="36">
        <f t="shared" si="627"/>
        <v>0</v>
      </c>
      <c r="O1575" s="36">
        <f t="shared" si="627"/>
        <v>0</v>
      </c>
      <c r="P1575" s="36">
        <f t="shared" si="627"/>
        <v>0</v>
      </c>
    </row>
    <row r="1576" spans="1:16" s="1" customFormat="1">
      <c r="A1576" s="28"/>
      <c r="B1576" s="38" t="s">
        <v>28</v>
      </c>
      <c r="C1576" s="24">
        <f t="shared" ref="C1576:C1586" si="628">E1576+F1576+G1576</f>
        <v>0</v>
      </c>
      <c r="D1576" s="30"/>
      <c r="E1576" s="30"/>
      <c r="F1576" s="30"/>
      <c r="G1576" s="30"/>
      <c r="H1576" s="31"/>
      <c r="I1576" s="31"/>
      <c r="J1576" s="31"/>
      <c r="K1576" s="31"/>
      <c r="L1576" s="24">
        <f t="shared" ref="L1576:L1586" si="629">N1576+O1576+P1576</f>
        <v>0</v>
      </c>
      <c r="M1576" s="30"/>
      <c r="N1576" s="30"/>
      <c r="O1576" s="30"/>
      <c r="P1576" s="30"/>
    </row>
    <row r="1577" spans="1:16" s="1" customFormat="1">
      <c r="A1577" s="28"/>
      <c r="B1577" s="38" t="s">
        <v>29</v>
      </c>
      <c r="C1577" s="24">
        <f t="shared" si="628"/>
        <v>0</v>
      </c>
      <c r="D1577" s="30"/>
      <c r="E1577" s="30"/>
      <c r="F1577" s="30"/>
      <c r="G1577" s="30"/>
      <c r="H1577" s="31"/>
      <c r="I1577" s="31"/>
      <c r="J1577" s="31"/>
      <c r="K1577" s="31"/>
      <c r="L1577" s="24">
        <f t="shared" si="629"/>
        <v>0</v>
      </c>
      <c r="M1577" s="30"/>
      <c r="N1577" s="30"/>
      <c r="O1577" s="30"/>
      <c r="P1577" s="30"/>
    </row>
    <row r="1578" spans="1:16" s="1" customFormat="1">
      <c r="A1578" s="28"/>
      <c r="B1578" s="38" t="s">
        <v>30</v>
      </c>
      <c r="C1578" s="24">
        <f t="shared" si="628"/>
        <v>0</v>
      </c>
      <c r="D1578" s="30"/>
      <c r="E1578" s="30"/>
      <c r="F1578" s="30"/>
      <c r="G1578" s="30"/>
      <c r="H1578" s="31"/>
      <c r="I1578" s="31"/>
      <c r="J1578" s="31"/>
      <c r="K1578" s="31"/>
      <c r="L1578" s="24">
        <f t="shared" si="629"/>
        <v>0</v>
      </c>
      <c r="M1578" s="30"/>
      <c r="N1578" s="30"/>
      <c r="O1578" s="30"/>
      <c r="P1578" s="30"/>
    </row>
    <row r="1579" spans="1:16" s="1" customFormat="1">
      <c r="A1579" s="28"/>
      <c r="B1579" s="38" t="s">
        <v>31</v>
      </c>
      <c r="C1579" s="24">
        <f t="shared" si="628"/>
        <v>0</v>
      </c>
      <c r="D1579" s="30"/>
      <c r="E1579" s="30"/>
      <c r="F1579" s="30"/>
      <c r="G1579" s="30"/>
      <c r="H1579" s="31"/>
      <c r="I1579" s="31"/>
      <c r="J1579" s="31"/>
      <c r="K1579" s="31"/>
      <c r="L1579" s="24">
        <f t="shared" si="629"/>
        <v>0</v>
      </c>
      <c r="M1579" s="30"/>
      <c r="N1579" s="30"/>
      <c r="O1579" s="30"/>
      <c r="P1579" s="30"/>
    </row>
    <row r="1580" spans="1:16" s="1" customFormat="1" ht="30">
      <c r="A1580" s="28"/>
      <c r="B1580" s="39" t="s">
        <v>32</v>
      </c>
      <c r="C1580" s="24">
        <f t="shared" si="628"/>
        <v>0</v>
      </c>
      <c r="D1580" s="30"/>
      <c r="E1580" s="30"/>
      <c r="F1580" s="30"/>
      <c r="G1580" s="30"/>
      <c r="H1580" s="31"/>
      <c r="I1580" s="31"/>
      <c r="J1580" s="31"/>
      <c r="K1580" s="31"/>
      <c r="L1580" s="24">
        <f t="shared" si="629"/>
        <v>0</v>
      </c>
      <c r="M1580" s="30"/>
      <c r="N1580" s="30"/>
      <c r="O1580" s="30"/>
      <c r="P1580" s="30"/>
    </row>
    <row r="1581" spans="1:16" s="1" customFormat="1" ht="30">
      <c r="A1581" s="28"/>
      <c r="B1581" s="39" t="s">
        <v>33</v>
      </c>
      <c r="C1581" s="24">
        <f t="shared" si="628"/>
        <v>0</v>
      </c>
      <c r="D1581" s="30"/>
      <c r="E1581" s="30"/>
      <c r="F1581" s="30"/>
      <c r="G1581" s="30"/>
      <c r="H1581" s="31"/>
      <c r="I1581" s="31"/>
      <c r="J1581" s="31"/>
      <c r="K1581" s="31"/>
      <c r="L1581" s="24">
        <f t="shared" si="629"/>
        <v>0</v>
      </c>
      <c r="M1581" s="30"/>
      <c r="N1581" s="30"/>
      <c r="O1581" s="30"/>
      <c r="P1581" s="30"/>
    </row>
    <row r="1582" spans="1:16" s="1" customFormat="1" ht="30">
      <c r="A1582" s="28"/>
      <c r="B1582" s="40" t="s">
        <v>34</v>
      </c>
      <c r="C1582" s="24">
        <f t="shared" si="628"/>
        <v>0</v>
      </c>
      <c r="D1582" s="30"/>
      <c r="E1582" s="30"/>
      <c r="F1582" s="30"/>
      <c r="G1582" s="30"/>
      <c r="H1582" s="31"/>
      <c r="I1582" s="31"/>
      <c r="J1582" s="31"/>
      <c r="K1582" s="31"/>
      <c r="L1582" s="24">
        <f t="shared" si="629"/>
        <v>0</v>
      </c>
      <c r="M1582" s="30"/>
      <c r="N1582" s="30"/>
      <c r="O1582" s="30"/>
      <c r="P1582" s="30"/>
    </row>
    <row r="1583" spans="1:16" s="1" customFormat="1">
      <c r="A1583" s="28"/>
      <c r="B1583" s="40" t="s">
        <v>35</v>
      </c>
      <c r="C1583" s="24">
        <f t="shared" si="628"/>
        <v>0</v>
      </c>
      <c r="D1583" s="30"/>
      <c r="E1583" s="30"/>
      <c r="F1583" s="30"/>
      <c r="G1583" s="30"/>
      <c r="H1583" s="31"/>
      <c r="I1583" s="31"/>
      <c r="J1583" s="31"/>
      <c r="K1583" s="31"/>
      <c r="L1583" s="24">
        <f t="shared" si="629"/>
        <v>0</v>
      </c>
      <c r="M1583" s="30"/>
      <c r="N1583" s="30"/>
      <c r="O1583" s="30"/>
      <c r="P1583" s="30"/>
    </row>
    <row r="1584" spans="1:16" s="1" customFormat="1" ht="30">
      <c r="A1584" s="28"/>
      <c r="B1584" s="41" t="s">
        <v>36</v>
      </c>
      <c r="C1584" s="24">
        <f t="shared" si="628"/>
        <v>0</v>
      </c>
      <c r="D1584" s="30"/>
      <c r="E1584" s="30"/>
      <c r="F1584" s="30"/>
      <c r="G1584" s="30"/>
      <c r="H1584" s="31"/>
      <c r="I1584" s="31"/>
      <c r="J1584" s="31"/>
      <c r="K1584" s="31"/>
      <c r="L1584" s="24">
        <f t="shared" si="629"/>
        <v>0</v>
      </c>
      <c r="M1584" s="30"/>
      <c r="N1584" s="30"/>
      <c r="O1584" s="30"/>
      <c r="P1584" s="30"/>
    </row>
    <row r="1585" spans="1:16" s="1" customFormat="1">
      <c r="A1585" s="28"/>
      <c r="B1585" s="42" t="s">
        <v>37</v>
      </c>
      <c r="C1585" s="24">
        <f t="shared" si="628"/>
        <v>0</v>
      </c>
      <c r="D1585" s="30"/>
      <c r="E1585" s="30"/>
      <c r="F1585" s="30"/>
      <c r="G1585" s="30"/>
      <c r="H1585" s="31"/>
      <c r="I1585" s="31"/>
      <c r="J1585" s="31"/>
      <c r="K1585" s="31"/>
      <c r="L1585" s="24">
        <f t="shared" si="629"/>
        <v>0</v>
      </c>
      <c r="M1585" s="30"/>
      <c r="N1585" s="30"/>
      <c r="O1585" s="30"/>
      <c r="P1585" s="30"/>
    </row>
    <row r="1586" spans="1:16" s="1" customFormat="1" ht="30">
      <c r="A1586" s="28"/>
      <c r="B1586" s="42" t="s">
        <v>38</v>
      </c>
      <c r="C1586" s="24">
        <f t="shared" si="628"/>
        <v>0</v>
      </c>
      <c r="D1586" s="30"/>
      <c r="E1586" s="30"/>
      <c r="F1586" s="30"/>
      <c r="G1586" s="30"/>
      <c r="H1586" s="31"/>
      <c r="I1586" s="31"/>
      <c r="J1586" s="31"/>
      <c r="K1586" s="31"/>
      <c r="L1586" s="24">
        <f t="shared" si="629"/>
        <v>0</v>
      </c>
      <c r="M1586" s="30"/>
      <c r="N1586" s="30"/>
      <c r="O1586" s="30"/>
      <c r="P1586" s="30"/>
    </row>
    <row r="1587" spans="1:16" s="1" customFormat="1" ht="30">
      <c r="A1587" s="28"/>
      <c r="B1587" s="43" t="s">
        <v>39</v>
      </c>
      <c r="C1587" s="36">
        <f t="shared" ref="C1587:G1587" si="630">SUM(C1588:C1594)</f>
        <v>0</v>
      </c>
      <c r="D1587" s="36">
        <f t="shared" si="630"/>
        <v>0</v>
      </c>
      <c r="E1587" s="36">
        <f t="shared" si="630"/>
        <v>0</v>
      </c>
      <c r="F1587" s="36">
        <f t="shared" si="630"/>
        <v>0</v>
      </c>
      <c r="G1587" s="36">
        <f t="shared" si="630"/>
        <v>0</v>
      </c>
      <c r="H1587" s="31"/>
      <c r="I1587" s="31"/>
      <c r="J1587" s="31"/>
      <c r="K1587" s="31"/>
      <c r="L1587" s="36">
        <f t="shared" ref="L1587:P1587" si="631">SUM(L1588:L1594)</f>
        <v>0</v>
      </c>
      <c r="M1587" s="36">
        <f t="shared" si="631"/>
        <v>0</v>
      </c>
      <c r="N1587" s="36">
        <f t="shared" si="631"/>
        <v>0</v>
      </c>
      <c r="O1587" s="36">
        <f t="shared" si="631"/>
        <v>0</v>
      </c>
      <c r="P1587" s="36">
        <f t="shared" si="631"/>
        <v>0</v>
      </c>
    </row>
    <row r="1588" spans="1:16" s="1" customFormat="1" ht="30">
      <c r="A1588" s="28" t="s">
        <v>40</v>
      </c>
      <c r="B1588" s="39" t="s">
        <v>41</v>
      </c>
      <c r="C1588" s="24">
        <f t="shared" ref="C1588:C1594" si="632">E1588+F1588+G1588</f>
        <v>0</v>
      </c>
      <c r="D1588" s="30"/>
      <c r="E1588" s="30"/>
      <c r="F1588" s="30"/>
      <c r="G1588" s="30"/>
      <c r="H1588" s="31"/>
      <c r="I1588" s="31"/>
      <c r="J1588" s="31"/>
      <c r="K1588" s="31"/>
      <c r="L1588" s="24">
        <f t="shared" ref="L1588:L1594" si="633">N1588+O1588+P1588</f>
        <v>0</v>
      </c>
      <c r="M1588" s="30"/>
      <c r="N1588" s="30"/>
      <c r="O1588" s="30"/>
      <c r="P1588" s="30"/>
    </row>
    <row r="1589" spans="1:16" s="1" customFormat="1">
      <c r="A1589" s="28"/>
      <c r="B1589" s="39" t="s">
        <v>42</v>
      </c>
      <c r="C1589" s="24">
        <f t="shared" si="632"/>
        <v>0</v>
      </c>
      <c r="D1589" s="30"/>
      <c r="E1589" s="30"/>
      <c r="F1589" s="30"/>
      <c r="G1589" s="30"/>
      <c r="H1589" s="31"/>
      <c r="I1589" s="31"/>
      <c r="J1589" s="31"/>
      <c r="K1589" s="31"/>
      <c r="L1589" s="24">
        <f t="shared" si="633"/>
        <v>0</v>
      </c>
      <c r="M1589" s="30"/>
      <c r="N1589" s="30"/>
      <c r="O1589" s="30"/>
      <c r="P1589" s="30"/>
    </row>
    <row r="1590" spans="1:16" s="1" customFormat="1">
      <c r="A1590" s="28"/>
      <c r="B1590" s="39" t="s">
        <v>43</v>
      </c>
      <c r="C1590" s="24">
        <f t="shared" si="632"/>
        <v>0</v>
      </c>
      <c r="D1590" s="30"/>
      <c r="E1590" s="30"/>
      <c r="F1590" s="30"/>
      <c r="G1590" s="30"/>
      <c r="H1590" s="31"/>
      <c r="I1590" s="31"/>
      <c r="J1590" s="31"/>
      <c r="K1590" s="31"/>
      <c r="L1590" s="24">
        <f t="shared" si="633"/>
        <v>0</v>
      </c>
      <c r="M1590" s="30"/>
      <c r="N1590" s="30"/>
      <c r="O1590" s="30"/>
      <c r="P1590" s="30"/>
    </row>
    <row r="1591" spans="1:16" s="1" customFormat="1">
      <c r="A1591" s="28"/>
      <c r="B1591" s="39" t="s">
        <v>44</v>
      </c>
      <c r="C1591" s="24">
        <f t="shared" si="632"/>
        <v>0</v>
      </c>
      <c r="D1591" s="30"/>
      <c r="E1591" s="30"/>
      <c r="F1591" s="30"/>
      <c r="G1591" s="30"/>
      <c r="H1591" s="31"/>
      <c r="I1591" s="31"/>
      <c r="J1591" s="31"/>
      <c r="K1591" s="31"/>
      <c r="L1591" s="24">
        <f t="shared" si="633"/>
        <v>0</v>
      </c>
      <c r="M1591" s="30"/>
      <c r="N1591" s="30"/>
      <c r="O1591" s="30"/>
      <c r="P1591" s="30"/>
    </row>
    <row r="1592" spans="1:16" s="1" customFormat="1">
      <c r="A1592" s="28"/>
      <c r="B1592" s="39" t="s">
        <v>45</v>
      </c>
      <c r="C1592" s="24">
        <f t="shared" si="632"/>
        <v>0</v>
      </c>
      <c r="D1592" s="30"/>
      <c r="E1592" s="30"/>
      <c r="F1592" s="30"/>
      <c r="G1592" s="30"/>
      <c r="H1592" s="31"/>
      <c r="I1592" s="31"/>
      <c r="J1592" s="31"/>
      <c r="K1592" s="31"/>
      <c r="L1592" s="24">
        <f t="shared" si="633"/>
        <v>0</v>
      </c>
      <c r="M1592" s="30"/>
      <c r="N1592" s="30"/>
      <c r="O1592" s="30"/>
      <c r="P1592" s="30"/>
    </row>
    <row r="1593" spans="1:16" s="1" customFormat="1" ht="30">
      <c r="A1593" s="28"/>
      <c r="B1593" s="39" t="s">
        <v>46</v>
      </c>
      <c r="C1593" s="24">
        <f t="shared" si="632"/>
        <v>0</v>
      </c>
      <c r="D1593" s="30"/>
      <c r="E1593" s="30"/>
      <c r="F1593" s="30"/>
      <c r="G1593" s="30"/>
      <c r="H1593" s="31"/>
      <c r="I1593" s="31"/>
      <c r="J1593" s="31"/>
      <c r="K1593" s="31"/>
      <c r="L1593" s="24">
        <f t="shared" si="633"/>
        <v>0</v>
      </c>
      <c r="M1593" s="30"/>
      <c r="N1593" s="30"/>
      <c r="O1593" s="30"/>
      <c r="P1593" s="30"/>
    </row>
    <row r="1594" spans="1:16" s="1" customFormat="1">
      <c r="A1594" s="28"/>
      <c r="B1594" s="39" t="s">
        <v>47</v>
      </c>
      <c r="C1594" s="24">
        <f t="shared" si="632"/>
        <v>0</v>
      </c>
      <c r="D1594" s="30"/>
      <c r="E1594" s="30"/>
      <c r="F1594" s="30"/>
      <c r="G1594" s="30"/>
      <c r="H1594" s="31"/>
      <c r="I1594" s="31"/>
      <c r="J1594" s="31"/>
      <c r="K1594" s="31"/>
      <c r="L1594" s="24">
        <f t="shared" si="633"/>
        <v>0</v>
      </c>
      <c r="M1594" s="30"/>
      <c r="N1594" s="30"/>
      <c r="O1594" s="30"/>
      <c r="P1594" s="30"/>
    </row>
    <row r="1595" spans="1:16" s="1" customFormat="1" ht="36.75" customHeight="1">
      <c r="A1595" s="211" t="s">
        <v>3</v>
      </c>
      <c r="B1595" s="213" t="s">
        <v>4</v>
      </c>
      <c r="C1595" s="213" t="s">
        <v>5</v>
      </c>
      <c r="D1595" s="10" t="s">
        <v>6</v>
      </c>
      <c r="E1595" s="215" t="s">
        <v>7</v>
      </c>
      <c r="F1595" s="216"/>
      <c r="G1595" s="217"/>
      <c r="H1595" s="218" t="s">
        <v>8</v>
      </c>
      <c r="I1595" s="218"/>
      <c r="J1595" s="218"/>
      <c r="K1595" s="11"/>
      <c r="L1595" s="219" t="s">
        <v>9</v>
      </c>
      <c r="M1595" s="12" t="s">
        <v>6</v>
      </c>
      <c r="N1595" s="208" t="s">
        <v>10</v>
      </c>
      <c r="O1595" s="209"/>
      <c r="P1595" s="210"/>
    </row>
    <row r="1596" spans="1:16" s="1" customFormat="1" ht="47.25" customHeight="1">
      <c r="A1596" s="212"/>
      <c r="B1596" s="214"/>
      <c r="C1596" s="214"/>
      <c r="D1596" s="13" t="s">
        <v>11</v>
      </c>
      <c r="E1596" s="13" t="s">
        <v>12</v>
      </c>
      <c r="F1596" s="13" t="s">
        <v>13</v>
      </c>
      <c r="G1596" s="13" t="s">
        <v>14</v>
      </c>
      <c r="H1596" s="14" t="s">
        <v>15</v>
      </c>
      <c r="I1596" s="14" t="s">
        <v>16</v>
      </c>
      <c r="J1596" s="14" t="s">
        <v>17</v>
      </c>
      <c r="K1596" s="14" t="s">
        <v>18</v>
      </c>
      <c r="L1596" s="220"/>
      <c r="M1596" s="15" t="s">
        <v>11</v>
      </c>
      <c r="N1596" s="15" t="s">
        <v>12</v>
      </c>
      <c r="O1596" s="15" t="s">
        <v>13</v>
      </c>
      <c r="P1596" s="15" t="s">
        <v>14</v>
      </c>
    </row>
    <row r="1597" spans="1:16" s="1" customFormat="1">
      <c r="A1597" s="109">
        <v>3</v>
      </c>
      <c r="B1597" s="50" t="s">
        <v>100</v>
      </c>
      <c r="C1597" s="111">
        <f t="shared" ref="C1597:G1597" si="634">C1598+C1599+C1600+C1601+C1602+C1603+C1604+C1605+C1610+C1611+C1612+C1613+C1614+C1615+C1616+C1617</f>
        <v>291762.94</v>
      </c>
      <c r="D1597" s="111">
        <f t="shared" si="634"/>
        <v>337211</v>
      </c>
      <c r="E1597" s="111">
        <f t="shared" si="634"/>
        <v>291762.94</v>
      </c>
      <c r="F1597" s="111">
        <f t="shared" si="634"/>
        <v>0</v>
      </c>
      <c r="G1597" s="111">
        <f t="shared" si="634"/>
        <v>0</v>
      </c>
      <c r="H1597" s="115"/>
      <c r="I1597" s="116"/>
      <c r="J1597" s="116"/>
      <c r="K1597" s="114"/>
      <c r="L1597" s="111">
        <f t="shared" ref="L1597:P1597" si="635">L1598+L1599+L1600+L1601+L1602+L1603+L1604+L1605+L1610+L1611+L1612+L1613+L1614+L1615+L1616+L1617</f>
        <v>0</v>
      </c>
      <c r="M1597" s="111">
        <f t="shared" si="635"/>
        <v>337211</v>
      </c>
      <c r="N1597" s="111">
        <f t="shared" si="635"/>
        <v>0</v>
      </c>
      <c r="O1597" s="111">
        <f t="shared" si="635"/>
        <v>0</v>
      </c>
      <c r="P1597" s="111">
        <f t="shared" si="635"/>
        <v>0</v>
      </c>
    </row>
    <row r="1598" spans="1:16" s="5" customFormat="1">
      <c r="A1598" s="22"/>
      <c r="B1598" s="23" t="s">
        <v>20</v>
      </c>
      <c r="C1598" s="24">
        <f t="shared" ref="C1598:C1604" si="636">E1598+F1598+G1598</f>
        <v>0</v>
      </c>
      <c r="D1598" s="25"/>
      <c r="E1598" s="25"/>
      <c r="F1598" s="25"/>
      <c r="G1598" s="25"/>
      <c r="H1598" s="26"/>
      <c r="I1598" s="24"/>
      <c r="J1598" s="24"/>
      <c r="K1598" s="27"/>
      <c r="L1598" s="24">
        <f t="shared" ref="L1598:L1604" si="637">N1598+O1598+P1598</f>
        <v>0</v>
      </c>
      <c r="M1598" s="25"/>
      <c r="N1598" s="25"/>
      <c r="O1598" s="25"/>
      <c r="P1598" s="25"/>
    </row>
    <row r="1599" spans="1:16" s="1" customFormat="1">
      <c r="A1599" s="28"/>
      <c r="B1599" s="29" t="s">
        <v>21</v>
      </c>
      <c r="C1599" s="24">
        <f t="shared" si="636"/>
        <v>0</v>
      </c>
      <c r="D1599" s="30"/>
      <c r="E1599" s="30"/>
      <c r="F1599" s="30"/>
      <c r="G1599" s="30"/>
      <c r="H1599" s="31"/>
      <c r="I1599" s="31"/>
      <c r="J1599" s="31"/>
      <c r="K1599" s="31"/>
      <c r="L1599" s="24">
        <f t="shared" si="637"/>
        <v>0</v>
      </c>
      <c r="M1599" s="30"/>
      <c r="N1599" s="30"/>
      <c r="O1599" s="30"/>
      <c r="P1599" s="30"/>
    </row>
    <row r="1600" spans="1:16" s="1" customFormat="1">
      <c r="A1600" s="28"/>
      <c r="B1600" s="32" t="s">
        <v>22</v>
      </c>
      <c r="C1600" s="24">
        <f t="shared" si="636"/>
        <v>0</v>
      </c>
      <c r="D1600" s="30"/>
      <c r="E1600" s="30"/>
      <c r="F1600" s="30"/>
      <c r="G1600" s="30"/>
      <c r="H1600" s="31"/>
      <c r="I1600" s="31"/>
      <c r="J1600" s="31"/>
      <c r="K1600" s="31"/>
      <c r="L1600" s="24">
        <f t="shared" si="637"/>
        <v>0</v>
      </c>
      <c r="M1600" s="30"/>
      <c r="N1600" s="30"/>
      <c r="O1600" s="30"/>
      <c r="P1600" s="30"/>
    </row>
    <row r="1601" spans="1:16" s="1" customFormat="1">
      <c r="A1601" s="28"/>
      <c r="B1601" s="32" t="s">
        <v>23</v>
      </c>
      <c r="C1601" s="24">
        <f t="shared" si="636"/>
        <v>0</v>
      </c>
      <c r="D1601" s="30">
        <v>66351.66</v>
      </c>
      <c r="E1601" s="30"/>
      <c r="F1601" s="30"/>
      <c r="G1601" s="30"/>
      <c r="H1601" s="31"/>
      <c r="I1601" s="31"/>
      <c r="J1601" s="31"/>
      <c r="K1601" s="31"/>
      <c r="L1601" s="24">
        <f t="shared" si="637"/>
        <v>0</v>
      </c>
      <c r="M1601" s="30">
        <v>66351.66</v>
      </c>
      <c r="N1601" s="30"/>
      <c r="O1601" s="30"/>
      <c r="P1601" s="30"/>
    </row>
    <row r="1602" spans="1:16" s="1" customFormat="1">
      <c r="A1602" s="28"/>
      <c r="B1602" s="29" t="s">
        <v>24</v>
      </c>
      <c r="C1602" s="24">
        <f t="shared" si="636"/>
        <v>0</v>
      </c>
      <c r="D1602" s="30">
        <f>35614.52+0.91+4.83+10.66+17.03</f>
        <v>35647.950000000004</v>
      </c>
      <c r="E1602" s="30"/>
      <c r="F1602" s="30"/>
      <c r="G1602" s="30"/>
      <c r="H1602" s="31"/>
      <c r="I1602" s="31"/>
      <c r="J1602" s="31"/>
      <c r="K1602" s="31"/>
      <c r="L1602" s="24">
        <f t="shared" si="637"/>
        <v>0</v>
      </c>
      <c r="M1602" s="30">
        <f>35614.52+0.91+4.83+10.66+17.03</f>
        <v>35647.950000000004</v>
      </c>
      <c r="N1602" s="30"/>
      <c r="O1602" s="30"/>
      <c r="P1602" s="30"/>
    </row>
    <row r="1603" spans="1:16" s="1" customFormat="1">
      <c r="A1603" s="28"/>
      <c r="B1603" s="34" t="s">
        <v>25</v>
      </c>
      <c r="C1603" s="24">
        <f t="shared" si="636"/>
        <v>0</v>
      </c>
      <c r="D1603" s="30">
        <v>7483.59</v>
      </c>
      <c r="E1603" s="30"/>
      <c r="F1603" s="30"/>
      <c r="G1603" s="30"/>
      <c r="H1603" s="31"/>
      <c r="I1603" s="31"/>
      <c r="J1603" s="31"/>
      <c r="K1603" s="31"/>
      <c r="L1603" s="24">
        <f t="shared" si="637"/>
        <v>0</v>
      </c>
      <c r="M1603" s="30">
        <v>7483.59</v>
      </c>
      <c r="N1603" s="30"/>
      <c r="O1603" s="30"/>
      <c r="P1603" s="30"/>
    </row>
    <row r="1604" spans="1:16" s="1" customFormat="1">
      <c r="A1604" s="28"/>
      <c r="B1604" s="32" t="s">
        <v>26</v>
      </c>
      <c r="C1604" s="24">
        <f t="shared" si="636"/>
        <v>0</v>
      </c>
      <c r="D1604" s="30"/>
      <c r="E1604" s="30"/>
      <c r="F1604" s="30"/>
      <c r="G1604" s="30"/>
      <c r="H1604" s="31"/>
      <c r="I1604" s="31"/>
      <c r="J1604" s="31"/>
      <c r="K1604" s="31"/>
      <c r="L1604" s="24">
        <f t="shared" si="637"/>
        <v>0</v>
      </c>
      <c r="M1604" s="30"/>
      <c r="N1604" s="30"/>
      <c r="O1604" s="30"/>
      <c r="P1604" s="30"/>
    </row>
    <row r="1605" spans="1:16" s="1" customFormat="1" ht="30">
      <c r="A1605" s="28"/>
      <c r="B1605" s="35" t="s">
        <v>27</v>
      </c>
      <c r="C1605" s="36">
        <f t="shared" ref="C1605:G1605" si="638">SUM(C1606:C1609)</f>
        <v>423.18</v>
      </c>
      <c r="D1605" s="36">
        <f t="shared" si="638"/>
        <v>206583.06</v>
      </c>
      <c r="E1605" s="36">
        <f t="shared" si="638"/>
        <v>423.18</v>
      </c>
      <c r="F1605" s="36">
        <f t="shared" si="638"/>
        <v>0</v>
      </c>
      <c r="G1605" s="36">
        <f t="shared" si="638"/>
        <v>0</v>
      </c>
      <c r="H1605" s="31"/>
      <c r="I1605" s="31"/>
      <c r="J1605" s="31"/>
      <c r="K1605" s="31"/>
      <c r="L1605" s="36">
        <f t="shared" ref="L1605:P1605" si="639">SUM(L1606:L1609)</f>
        <v>0</v>
      </c>
      <c r="M1605" s="36">
        <f t="shared" si="639"/>
        <v>206583.06</v>
      </c>
      <c r="N1605" s="36">
        <f t="shared" si="639"/>
        <v>0</v>
      </c>
      <c r="O1605" s="36">
        <f t="shared" si="639"/>
        <v>0</v>
      </c>
      <c r="P1605" s="36">
        <f t="shared" si="639"/>
        <v>0</v>
      </c>
    </row>
    <row r="1606" spans="1:16" s="1" customFormat="1">
      <c r="A1606" s="28"/>
      <c r="B1606" s="38" t="s">
        <v>28</v>
      </c>
      <c r="C1606" s="24">
        <f t="shared" ref="C1606:C1616" si="640">E1606+F1606+G1606</f>
        <v>0</v>
      </c>
      <c r="D1606" s="30">
        <v>86079.43</v>
      </c>
      <c r="E1606" s="30"/>
      <c r="F1606" s="30"/>
      <c r="G1606" s="30"/>
      <c r="H1606" s="31"/>
      <c r="I1606" s="31"/>
      <c r="J1606" s="31"/>
      <c r="K1606" s="31"/>
      <c r="L1606" s="24">
        <f t="shared" ref="L1606:L1616" si="641">N1606+O1606+P1606</f>
        <v>0</v>
      </c>
      <c r="M1606" s="30">
        <v>86079.43</v>
      </c>
      <c r="N1606" s="30"/>
      <c r="O1606" s="30"/>
      <c r="P1606" s="30"/>
    </row>
    <row r="1607" spans="1:16" s="1" customFormat="1">
      <c r="A1607" s="28"/>
      <c r="B1607" s="38" t="s">
        <v>29</v>
      </c>
      <c r="C1607" s="24">
        <f t="shared" si="640"/>
        <v>0</v>
      </c>
      <c r="D1607" s="30">
        <v>115972.34</v>
      </c>
      <c r="E1607" s="30"/>
      <c r="F1607" s="30"/>
      <c r="G1607" s="30"/>
      <c r="H1607" s="31"/>
      <c r="I1607" s="31"/>
      <c r="J1607" s="31"/>
      <c r="K1607" s="31"/>
      <c r="L1607" s="24">
        <f t="shared" si="641"/>
        <v>0</v>
      </c>
      <c r="M1607" s="30">
        <v>115972.34</v>
      </c>
      <c r="N1607" s="30"/>
      <c r="O1607" s="30"/>
      <c r="P1607" s="30"/>
    </row>
    <row r="1608" spans="1:16" s="1" customFormat="1">
      <c r="A1608" s="28"/>
      <c r="B1608" s="38" t="s">
        <v>30</v>
      </c>
      <c r="C1608" s="24">
        <f t="shared" si="640"/>
        <v>0</v>
      </c>
      <c r="D1608" s="30">
        <v>4531.29</v>
      </c>
      <c r="E1608" s="30"/>
      <c r="F1608" s="30"/>
      <c r="G1608" s="30"/>
      <c r="H1608" s="31"/>
      <c r="I1608" s="31"/>
      <c r="J1608" s="31"/>
      <c r="K1608" s="31"/>
      <c r="L1608" s="24">
        <f t="shared" si="641"/>
        <v>0</v>
      </c>
      <c r="M1608" s="30">
        <v>4531.29</v>
      </c>
      <c r="N1608" s="30"/>
      <c r="O1608" s="30"/>
      <c r="P1608" s="30"/>
    </row>
    <row r="1609" spans="1:16" s="1" customFormat="1">
      <c r="A1609" s="28"/>
      <c r="B1609" s="38" t="s">
        <v>31</v>
      </c>
      <c r="C1609" s="24">
        <f t="shared" si="640"/>
        <v>423.18</v>
      </c>
      <c r="D1609" s="30"/>
      <c r="E1609" s="30">
        <v>423.18</v>
      </c>
      <c r="F1609" s="30"/>
      <c r="G1609" s="30"/>
      <c r="H1609" s="31"/>
      <c r="I1609" s="31"/>
      <c r="J1609" s="31"/>
      <c r="K1609" s="31"/>
      <c r="L1609" s="24">
        <f t="shared" si="641"/>
        <v>0</v>
      </c>
      <c r="M1609" s="30"/>
      <c r="N1609" s="30"/>
      <c r="O1609" s="30"/>
      <c r="P1609" s="30"/>
    </row>
    <row r="1610" spans="1:16" s="1" customFormat="1" ht="30">
      <c r="A1610" s="28"/>
      <c r="B1610" s="39" t="s">
        <v>32</v>
      </c>
      <c r="C1610" s="24">
        <f t="shared" si="640"/>
        <v>0</v>
      </c>
      <c r="D1610" s="30"/>
      <c r="E1610" s="30"/>
      <c r="F1610" s="30"/>
      <c r="G1610" s="30"/>
      <c r="H1610" s="31"/>
      <c r="I1610" s="31"/>
      <c r="J1610" s="31"/>
      <c r="K1610" s="31"/>
      <c r="L1610" s="24">
        <f t="shared" si="641"/>
        <v>0</v>
      </c>
      <c r="M1610" s="30"/>
      <c r="N1610" s="30"/>
      <c r="O1610" s="30"/>
      <c r="P1610" s="30"/>
    </row>
    <row r="1611" spans="1:16" s="1" customFormat="1" ht="30">
      <c r="A1611" s="28"/>
      <c r="B1611" s="39" t="s">
        <v>33</v>
      </c>
      <c r="C1611" s="24">
        <f t="shared" si="640"/>
        <v>0</v>
      </c>
      <c r="D1611" s="30">
        <v>265.04000000000002</v>
      </c>
      <c r="E1611" s="30"/>
      <c r="F1611" s="30"/>
      <c r="G1611" s="30"/>
      <c r="H1611" s="31"/>
      <c r="I1611" s="31"/>
      <c r="J1611" s="31"/>
      <c r="K1611" s="31"/>
      <c r="L1611" s="24">
        <f t="shared" si="641"/>
        <v>0</v>
      </c>
      <c r="M1611" s="30">
        <v>265.04000000000002</v>
      </c>
      <c r="N1611" s="30"/>
      <c r="O1611" s="30"/>
      <c r="P1611" s="30"/>
    </row>
    <row r="1612" spans="1:16" s="1" customFormat="1" ht="30">
      <c r="A1612" s="28"/>
      <c r="B1612" s="40" t="s">
        <v>34</v>
      </c>
      <c r="C1612" s="24">
        <f t="shared" si="640"/>
        <v>0</v>
      </c>
      <c r="D1612" s="30"/>
      <c r="E1612" s="30"/>
      <c r="F1612" s="30"/>
      <c r="G1612" s="30"/>
      <c r="H1612" s="31"/>
      <c r="I1612" s="31"/>
      <c r="J1612" s="31"/>
      <c r="K1612" s="31"/>
      <c r="L1612" s="24">
        <f t="shared" si="641"/>
        <v>0</v>
      </c>
      <c r="M1612" s="30"/>
      <c r="N1612" s="30"/>
      <c r="O1612" s="30"/>
      <c r="P1612" s="30"/>
    </row>
    <row r="1613" spans="1:16" s="1" customFormat="1">
      <c r="A1613" s="28"/>
      <c r="B1613" s="40" t="s">
        <v>35</v>
      </c>
      <c r="C1613" s="24">
        <f t="shared" si="640"/>
        <v>0</v>
      </c>
      <c r="D1613" s="30"/>
      <c r="E1613" s="30"/>
      <c r="F1613" s="30"/>
      <c r="G1613" s="30"/>
      <c r="H1613" s="31"/>
      <c r="I1613" s="31"/>
      <c r="J1613" s="31"/>
      <c r="K1613" s="31"/>
      <c r="L1613" s="24">
        <f t="shared" si="641"/>
        <v>0</v>
      </c>
      <c r="M1613" s="30"/>
      <c r="N1613" s="30"/>
      <c r="O1613" s="30"/>
      <c r="P1613" s="30"/>
    </row>
    <row r="1614" spans="1:16" s="1" customFormat="1" ht="30">
      <c r="A1614" s="28"/>
      <c r="B1614" s="41" t="s">
        <v>36</v>
      </c>
      <c r="C1614" s="24">
        <f t="shared" si="640"/>
        <v>0</v>
      </c>
      <c r="D1614" s="30"/>
      <c r="E1614" s="30"/>
      <c r="F1614" s="30"/>
      <c r="G1614" s="30"/>
      <c r="H1614" s="31"/>
      <c r="I1614" s="31"/>
      <c r="J1614" s="31"/>
      <c r="K1614" s="31"/>
      <c r="L1614" s="24">
        <f t="shared" si="641"/>
        <v>0</v>
      </c>
      <c r="M1614" s="30"/>
      <c r="N1614" s="30"/>
      <c r="O1614" s="30"/>
      <c r="P1614" s="30"/>
    </row>
    <row r="1615" spans="1:16" s="1" customFormat="1">
      <c r="A1615" s="28"/>
      <c r="B1615" s="42" t="s">
        <v>37</v>
      </c>
      <c r="C1615" s="24">
        <f t="shared" si="640"/>
        <v>291339.76</v>
      </c>
      <c r="D1615" s="30">
        <v>248</v>
      </c>
      <c r="E1615" s="30">
        <f>290427+914.76-2</f>
        <v>291339.76</v>
      </c>
      <c r="F1615" s="30"/>
      <c r="G1615" s="30"/>
      <c r="H1615" s="31"/>
      <c r="I1615" s="31"/>
      <c r="J1615" s="31"/>
      <c r="K1615" s="31"/>
      <c r="L1615" s="24">
        <f t="shared" si="641"/>
        <v>0</v>
      </c>
      <c r="M1615" s="30">
        <v>248</v>
      </c>
      <c r="N1615" s="30"/>
      <c r="O1615" s="30"/>
      <c r="P1615" s="30"/>
    </row>
    <row r="1616" spans="1:16" s="1" customFormat="1" ht="30">
      <c r="A1616" s="28"/>
      <c r="B1616" s="42" t="s">
        <v>38</v>
      </c>
      <c r="C1616" s="24">
        <f t="shared" si="640"/>
        <v>0</v>
      </c>
      <c r="D1616" s="30"/>
      <c r="E1616" s="30"/>
      <c r="F1616" s="30"/>
      <c r="G1616" s="30"/>
      <c r="H1616" s="31"/>
      <c r="I1616" s="31"/>
      <c r="J1616" s="31"/>
      <c r="K1616" s="31"/>
      <c r="L1616" s="24">
        <f t="shared" si="641"/>
        <v>0</v>
      </c>
      <c r="M1616" s="30"/>
      <c r="N1616" s="30"/>
      <c r="O1616" s="30"/>
      <c r="P1616" s="30"/>
    </row>
    <row r="1617" spans="1:16" s="1" customFormat="1" ht="30">
      <c r="A1617" s="28"/>
      <c r="B1617" s="43" t="s">
        <v>39</v>
      </c>
      <c r="C1617" s="36">
        <f t="shared" ref="C1617:G1617" si="642">SUM(C1618:C1624)</f>
        <v>0</v>
      </c>
      <c r="D1617" s="36">
        <f t="shared" si="642"/>
        <v>20631.7</v>
      </c>
      <c r="E1617" s="36">
        <f t="shared" si="642"/>
        <v>0</v>
      </c>
      <c r="F1617" s="36">
        <f t="shared" si="642"/>
        <v>0</v>
      </c>
      <c r="G1617" s="36">
        <f t="shared" si="642"/>
        <v>0</v>
      </c>
      <c r="H1617" s="31"/>
      <c r="I1617" s="31"/>
      <c r="J1617" s="31"/>
      <c r="K1617" s="31"/>
      <c r="L1617" s="36">
        <f t="shared" ref="L1617:P1617" si="643">SUM(L1618:L1624)</f>
        <v>0</v>
      </c>
      <c r="M1617" s="36">
        <f t="shared" si="643"/>
        <v>20631.7</v>
      </c>
      <c r="N1617" s="36">
        <f t="shared" si="643"/>
        <v>0</v>
      </c>
      <c r="O1617" s="36">
        <f t="shared" si="643"/>
        <v>0</v>
      </c>
      <c r="P1617" s="36">
        <f t="shared" si="643"/>
        <v>0</v>
      </c>
    </row>
    <row r="1618" spans="1:16" s="1" customFormat="1" ht="30">
      <c r="A1618" s="28" t="s">
        <v>40</v>
      </c>
      <c r="B1618" s="39" t="s">
        <v>41</v>
      </c>
      <c r="C1618" s="24">
        <f t="shared" ref="C1618:C1624" si="644">E1618+F1618+G1618</f>
        <v>0</v>
      </c>
      <c r="D1618" s="30"/>
      <c r="E1618" s="30"/>
      <c r="F1618" s="30"/>
      <c r="G1618" s="30"/>
      <c r="H1618" s="31"/>
      <c r="I1618" s="31"/>
      <c r="J1618" s="31"/>
      <c r="K1618" s="31"/>
      <c r="L1618" s="24">
        <f t="shared" ref="L1618:L1624" si="645">N1618+O1618+P1618</f>
        <v>0</v>
      </c>
      <c r="M1618" s="30"/>
      <c r="N1618" s="30"/>
      <c r="O1618" s="30"/>
      <c r="P1618" s="30"/>
    </row>
    <row r="1619" spans="1:16" s="1" customFormat="1">
      <c r="A1619" s="28"/>
      <c r="B1619" s="39" t="s">
        <v>42</v>
      </c>
      <c r="C1619" s="24">
        <f t="shared" si="644"/>
        <v>0</v>
      </c>
      <c r="D1619" s="30"/>
      <c r="E1619" s="30"/>
      <c r="F1619" s="30"/>
      <c r="G1619" s="30"/>
      <c r="H1619" s="31"/>
      <c r="I1619" s="31"/>
      <c r="J1619" s="31"/>
      <c r="K1619" s="31"/>
      <c r="L1619" s="24">
        <f t="shared" si="645"/>
        <v>0</v>
      </c>
      <c r="M1619" s="30"/>
      <c r="N1619" s="30"/>
      <c r="O1619" s="30"/>
      <c r="P1619" s="30"/>
    </row>
    <row r="1620" spans="1:16" s="1" customFormat="1">
      <c r="A1620" s="28"/>
      <c r="B1620" s="39" t="s">
        <v>43</v>
      </c>
      <c r="C1620" s="24">
        <f t="shared" si="644"/>
        <v>0</v>
      </c>
      <c r="D1620" s="30"/>
      <c r="E1620" s="30"/>
      <c r="F1620" s="30"/>
      <c r="G1620" s="30"/>
      <c r="H1620" s="31"/>
      <c r="I1620" s="31"/>
      <c r="J1620" s="31"/>
      <c r="K1620" s="31"/>
      <c r="L1620" s="24">
        <f t="shared" si="645"/>
        <v>0</v>
      </c>
      <c r="M1620" s="30"/>
      <c r="N1620" s="30"/>
      <c r="O1620" s="30"/>
      <c r="P1620" s="30"/>
    </row>
    <row r="1621" spans="1:16" s="1" customFormat="1">
      <c r="A1621" s="28"/>
      <c r="B1621" s="39" t="s">
        <v>44</v>
      </c>
      <c r="C1621" s="24">
        <f t="shared" si="644"/>
        <v>0</v>
      </c>
      <c r="D1621" s="30"/>
      <c r="E1621" s="30"/>
      <c r="F1621" s="30"/>
      <c r="G1621" s="30"/>
      <c r="H1621" s="31"/>
      <c r="I1621" s="31"/>
      <c r="J1621" s="31"/>
      <c r="K1621" s="31"/>
      <c r="L1621" s="24">
        <f t="shared" si="645"/>
        <v>0</v>
      </c>
      <c r="M1621" s="30"/>
      <c r="N1621" s="30"/>
      <c r="O1621" s="30"/>
      <c r="P1621" s="30"/>
    </row>
    <row r="1622" spans="1:16" s="1" customFormat="1">
      <c r="A1622" s="28"/>
      <c r="B1622" s="39" t="s">
        <v>45</v>
      </c>
      <c r="C1622" s="24">
        <f t="shared" si="644"/>
        <v>0</v>
      </c>
      <c r="D1622" s="30">
        <v>20631.7</v>
      </c>
      <c r="E1622" s="30"/>
      <c r="F1622" s="30"/>
      <c r="G1622" s="30"/>
      <c r="H1622" s="31"/>
      <c r="I1622" s="31"/>
      <c r="J1622" s="31"/>
      <c r="K1622" s="31"/>
      <c r="L1622" s="24">
        <f t="shared" si="645"/>
        <v>0</v>
      </c>
      <c r="M1622" s="30">
        <v>20631.7</v>
      </c>
      <c r="N1622" s="30"/>
      <c r="O1622" s="30"/>
      <c r="P1622" s="30"/>
    </row>
    <row r="1623" spans="1:16" s="1" customFormat="1" ht="30">
      <c r="A1623" s="28"/>
      <c r="B1623" s="39" t="s">
        <v>46</v>
      </c>
      <c r="C1623" s="24">
        <f t="shared" si="644"/>
        <v>0</v>
      </c>
      <c r="D1623" s="30"/>
      <c r="E1623" s="30"/>
      <c r="F1623" s="30"/>
      <c r="G1623" s="30"/>
      <c r="H1623" s="31"/>
      <c r="I1623" s="31"/>
      <c r="J1623" s="31"/>
      <c r="K1623" s="31"/>
      <c r="L1623" s="24">
        <f t="shared" si="645"/>
        <v>0</v>
      </c>
      <c r="M1623" s="30"/>
      <c r="N1623" s="30"/>
      <c r="O1623" s="30"/>
      <c r="P1623" s="30"/>
    </row>
    <row r="1624" spans="1:16" s="1" customFormat="1">
      <c r="A1624" s="28"/>
      <c r="B1624" s="39" t="s">
        <v>47</v>
      </c>
      <c r="C1624" s="24">
        <f t="shared" si="644"/>
        <v>0</v>
      </c>
      <c r="D1624" s="30"/>
      <c r="E1624" s="30"/>
      <c r="F1624" s="30"/>
      <c r="G1624" s="30"/>
      <c r="H1624" s="31"/>
      <c r="I1624" s="31"/>
      <c r="J1624" s="31"/>
      <c r="K1624" s="31"/>
      <c r="L1624" s="24">
        <f t="shared" si="645"/>
        <v>0</v>
      </c>
      <c r="M1624" s="30"/>
      <c r="N1624" s="30"/>
      <c r="O1624" s="30"/>
      <c r="P1624" s="30"/>
    </row>
    <row r="1625" spans="1:16" s="1" customFormat="1" ht="36.75" customHeight="1">
      <c r="A1625" s="211" t="s">
        <v>3</v>
      </c>
      <c r="B1625" s="213" t="s">
        <v>4</v>
      </c>
      <c r="C1625" s="213" t="s">
        <v>5</v>
      </c>
      <c r="D1625" s="10" t="s">
        <v>6</v>
      </c>
      <c r="E1625" s="215" t="s">
        <v>7</v>
      </c>
      <c r="F1625" s="216"/>
      <c r="G1625" s="217"/>
      <c r="H1625" s="218" t="s">
        <v>8</v>
      </c>
      <c r="I1625" s="218"/>
      <c r="J1625" s="218"/>
      <c r="K1625" s="11"/>
      <c r="L1625" s="219" t="s">
        <v>9</v>
      </c>
      <c r="M1625" s="12" t="s">
        <v>6</v>
      </c>
      <c r="N1625" s="208" t="s">
        <v>10</v>
      </c>
      <c r="O1625" s="209"/>
      <c r="P1625" s="210"/>
    </row>
    <row r="1626" spans="1:16" s="1" customFormat="1" ht="47.25" customHeight="1">
      <c r="A1626" s="212"/>
      <c r="B1626" s="214"/>
      <c r="C1626" s="214"/>
      <c r="D1626" s="13" t="s">
        <v>11</v>
      </c>
      <c r="E1626" s="13" t="s">
        <v>12</v>
      </c>
      <c r="F1626" s="13" t="s">
        <v>13</v>
      </c>
      <c r="G1626" s="13" t="s">
        <v>14</v>
      </c>
      <c r="H1626" s="14" t="s">
        <v>15</v>
      </c>
      <c r="I1626" s="14" t="s">
        <v>16</v>
      </c>
      <c r="J1626" s="14" t="s">
        <v>17</v>
      </c>
      <c r="K1626" s="14" t="s">
        <v>18</v>
      </c>
      <c r="L1626" s="220"/>
      <c r="M1626" s="15" t="s">
        <v>11</v>
      </c>
      <c r="N1626" s="15" t="s">
        <v>12</v>
      </c>
      <c r="O1626" s="15" t="s">
        <v>13</v>
      </c>
      <c r="P1626" s="15" t="s">
        <v>14</v>
      </c>
    </row>
    <row r="1627" spans="1:16" s="1" customFormat="1">
      <c r="A1627" s="109">
        <v>4</v>
      </c>
      <c r="B1627" s="50" t="s">
        <v>101</v>
      </c>
      <c r="C1627" s="111">
        <f t="shared" ref="C1627:G1627" si="646">C1628+C1629+C1630+C1631+C1632+C1633+C1634+C1635+C1640+C1641+C1642+C1643+C1644+C1645+C1646+C1647</f>
        <v>597981.89999999991</v>
      </c>
      <c r="D1627" s="111">
        <f t="shared" si="646"/>
        <v>158870.02000000002</v>
      </c>
      <c r="E1627" s="111">
        <f t="shared" si="646"/>
        <v>556211.9</v>
      </c>
      <c r="F1627" s="111">
        <f t="shared" si="646"/>
        <v>41770</v>
      </c>
      <c r="G1627" s="111">
        <f t="shared" si="646"/>
        <v>0</v>
      </c>
      <c r="H1627" s="115"/>
      <c r="I1627" s="116"/>
      <c r="J1627" s="116"/>
      <c r="K1627" s="114"/>
      <c r="L1627" s="111">
        <f t="shared" ref="L1627:P1627" si="647">L1628+L1629+L1630+L1631+L1632+L1633+L1634+L1635+L1640+L1641+L1642+L1643+L1644+L1645+L1646+L1647</f>
        <v>0</v>
      </c>
      <c r="M1627" s="111">
        <f t="shared" si="647"/>
        <v>158870.02000000002</v>
      </c>
      <c r="N1627" s="111">
        <f t="shared" si="647"/>
        <v>0</v>
      </c>
      <c r="O1627" s="111">
        <f t="shared" si="647"/>
        <v>0</v>
      </c>
      <c r="P1627" s="111">
        <f t="shared" si="647"/>
        <v>0</v>
      </c>
    </row>
    <row r="1628" spans="1:16" s="5" customFormat="1">
      <c r="A1628" s="22"/>
      <c r="B1628" s="23" t="s">
        <v>20</v>
      </c>
      <c r="C1628" s="24">
        <f t="shared" ref="C1628:C1634" si="648">E1628+F1628+G1628</f>
        <v>0</v>
      </c>
      <c r="D1628" s="25"/>
      <c r="E1628" s="25"/>
      <c r="F1628" s="25"/>
      <c r="G1628" s="25"/>
      <c r="H1628" s="26"/>
      <c r="I1628" s="24"/>
      <c r="J1628" s="24"/>
      <c r="K1628" s="27"/>
      <c r="L1628" s="24">
        <f t="shared" ref="L1628:L1634" si="649">N1628+O1628+P1628</f>
        <v>0</v>
      </c>
      <c r="M1628" s="25"/>
      <c r="N1628" s="25"/>
      <c r="O1628" s="25"/>
      <c r="P1628" s="25"/>
    </row>
    <row r="1629" spans="1:16" s="1" customFormat="1">
      <c r="A1629" s="28"/>
      <c r="B1629" s="29" t="s">
        <v>21</v>
      </c>
      <c r="C1629" s="24">
        <f t="shared" si="648"/>
        <v>142848.89000000001</v>
      </c>
      <c r="D1629" s="30"/>
      <c r="E1629" s="30">
        <v>142848.89000000001</v>
      </c>
      <c r="F1629" s="30"/>
      <c r="G1629" s="30"/>
      <c r="H1629" s="31"/>
      <c r="I1629" s="31"/>
      <c r="J1629" s="31"/>
      <c r="K1629" s="31"/>
      <c r="L1629" s="24">
        <f t="shared" si="649"/>
        <v>0</v>
      </c>
      <c r="M1629" s="30"/>
      <c r="N1629" s="30"/>
      <c r="O1629" s="30"/>
      <c r="P1629" s="30"/>
    </row>
    <row r="1630" spans="1:16" s="1" customFormat="1">
      <c r="A1630" s="28"/>
      <c r="B1630" s="32" t="s">
        <v>22</v>
      </c>
      <c r="C1630" s="24">
        <f t="shared" si="648"/>
        <v>0</v>
      </c>
      <c r="D1630" s="30"/>
      <c r="E1630" s="30"/>
      <c r="F1630" s="30"/>
      <c r="G1630" s="30"/>
      <c r="H1630" s="31"/>
      <c r="I1630" s="31"/>
      <c r="J1630" s="31"/>
      <c r="K1630" s="31"/>
      <c r="L1630" s="24">
        <f t="shared" si="649"/>
        <v>0</v>
      </c>
      <c r="M1630" s="30"/>
      <c r="N1630" s="30"/>
      <c r="O1630" s="30"/>
      <c r="P1630" s="30"/>
    </row>
    <row r="1631" spans="1:16" s="1" customFormat="1">
      <c r="A1631" s="28"/>
      <c r="B1631" s="32" t="s">
        <v>23</v>
      </c>
      <c r="C1631" s="24">
        <f t="shared" si="648"/>
        <v>0</v>
      </c>
      <c r="D1631" s="87">
        <v>30752</v>
      </c>
      <c r="E1631" s="87"/>
      <c r="F1631" s="30"/>
      <c r="G1631" s="30"/>
      <c r="H1631" s="31"/>
      <c r="I1631" s="31"/>
      <c r="J1631" s="31"/>
      <c r="K1631" s="31"/>
      <c r="L1631" s="24">
        <f t="shared" si="649"/>
        <v>0</v>
      </c>
      <c r="M1631" s="87">
        <v>30752</v>
      </c>
      <c r="N1631" s="87"/>
      <c r="O1631" s="30"/>
      <c r="P1631" s="30"/>
    </row>
    <row r="1632" spans="1:16" s="1" customFormat="1">
      <c r="A1632" s="28"/>
      <c r="B1632" s="29" t="s">
        <v>24</v>
      </c>
      <c r="C1632" s="24">
        <f t="shared" si="648"/>
        <v>412860.33</v>
      </c>
      <c r="D1632" s="87"/>
      <c r="E1632" s="87">
        <v>371090.33</v>
      </c>
      <c r="F1632" s="30">
        <v>41770</v>
      </c>
      <c r="G1632" s="30"/>
      <c r="H1632" s="31"/>
      <c r="I1632" s="31"/>
      <c r="J1632" s="31"/>
      <c r="K1632" s="31"/>
      <c r="L1632" s="24">
        <f t="shared" si="649"/>
        <v>0</v>
      </c>
      <c r="M1632" s="87"/>
      <c r="N1632" s="87"/>
      <c r="O1632" s="30"/>
      <c r="P1632" s="30"/>
    </row>
    <row r="1633" spans="1:16" s="1" customFormat="1">
      <c r="A1633" s="28"/>
      <c r="B1633" s="34" t="s">
        <v>25</v>
      </c>
      <c r="C1633" s="24">
        <f t="shared" si="648"/>
        <v>0</v>
      </c>
      <c r="D1633" s="87">
        <v>3022.17</v>
      </c>
      <c r="E1633" s="87"/>
      <c r="F1633" s="30"/>
      <c r="G1633" s="30"/>
      <c r="H1633" s="31"/>
      <c r="I1633" s="31"/>
      <c r="J1633" s="31"/>
      <c r="K1633" s="31"/>
      <c r="L1633" s="24">
        <f t="shared" si="649"/>
        <v>0</v>
      </c>
      <c r="M1633" s="87">
        <v>3022.17</v>
      </c>
      <c r="N1633" s="87"/>
      <c r="O1633" s="30"/>
      <c r="P1633" s="30"/>
    </row>
    <row r="1634" spans="1:16" s="1" customFormat="1">
      <c r="A1634" s="28"/>
      <c r="B1634" s="32" t="s">
        <v>26</v>
      </c>
      <c r="C1634" s="24">
        <f t="shared" si="648"/>
        <v>0</v>
      </c>
      <c r="D1634" s="87"/>
      <c r="E1634" s="87"/>
      <c r="F1634" s="30"/>
      <c r="G1634" s="30"/>
      <c r="H1634" s="31"/>
      <c r="I1634" s="31"/>
      <c r="J1634" s="31"/>
      <c r="K1634" s="31"/>
      <c r="L1634" s="24">
        <f t="shared" si="649"/>
        <v>0</v>
      </c>
      <c r="M1634" s="87"/>
      <c r="N1634" s="87"/>
      <c r="O1634" s="30"/>
      <c r="P1634" s="30"/>
    </row>
    <row r="1635" spans="1:16" s="1" customFormat="1" ht="30">
      <c r="A1635" s="28"/>
      <c r="B1635" s="35" t="s">
        <v>27</v>
      </c>
      <c r="C1635" s="36">
        <f t="shared" ref="C1635:G1635" si="650">SUM(C1636:C1639)</f>
        <v>23602.23</v>
      </c>
      <c r="D1635" s="86">
        <f t="shared" si="650"/>
        <v>25595.63</v>
      </c>
      <c r="E1635" s="86">
        <f t="shared" si="650"/>
        <v>23602.23</v>
      </c>
      <c r="F1635" s="36">
        <f t="shared" si="650"/>
        <v>0</v>
      </c>
      <c r="G1635" s="36">
        <f t="shared" si="650"/>
        <v>0</v>
      </c>
      <c r="H1635" s="31"/>
      <c r="I1635" s="31"/>
      <c r="J1635" s="31"/>
      <c r="K1635" s="31"/>
      <c r="L1635" s="36">
        <f t="shared" ref="L1635:P1635" si="651">SUM(L1636:L1639)</f>
        <v>0</v>
      </c>
      <c r="M1635" s="86">
        <f t="shared" si="651"/>
        <v>25595.63</v>
      </c>
      <c r="N1635" s="86">
        <f t="shared" si="651"/>
        <v>0</v>
      </c>
      <c r="O1635" s="36">
        <f t="shared" si="651"/>
        <v>0</v>
      </c>
      <c r="P1635" s="36">
        <f t="shared" si="651"/>
        <v>0</v>
      </c>
    </row>
    <row r="1636" spans="1:16" s="1" customFormat="1">
      <c r="A1636" s="28"/>
      <c r="B1636" s="38" t="s">
        <v>28</v>
      </c>
      <c r="C1636" s="24">
        <f t="shared" ref="C1636:C1646" si="652">E1636+F1636+G1636</f>
        <v>0</v>
      </c>
      <c r="D1636" s="87">
        <v>25595.63</v>
      </c>
      <c r="E1636" s="87"/>
      <c r="F1636" s="30"/>
      <c r="G1636" s="30"/>
      <c r="H1636" s="31"/>
      <c r="I1636" s="31"/>
      <c r="J1636" s="31"/>
      <c r="K1636" s="31"/>
      <c r="L1636" s="24">
        <f t="shared" ref="L1636:L1646" si="653">N1636+O1636+P1636</f>
        <v>0</v>
      </c>
      <c r="M1636" s="87">
        <v>25595.63</v>
      </c>
      <c r="N1636" s="87"/>
      <c r="O1636" s="30"/>
      <c r="P1636" s="30"/>
    </row>
    <row r="1637" spans="1:16" s="1" customFormat="1">
      <c r="A1637" s="28"/>
      <c r="B1637" s="38" t="s">
        <v>29</v>
      </c>
      <c r="C1637" s="24">
        <f t="shared" si="652"/>
        <v>23602.23</v>
      </c>
      <c r="D1637" s="87"/>
      <c r="E1637" s="87">
        <v>23602.23</v>
      </c>
      <c r="F1637" s="30"/>
      <c r="G1637" s="30"/>
      <c r="H1637" s="31"/>
      <c r="I1637" s="31"/>
      <c r="J1637" s="31"/>
      <c r="K1637" s="31"/>
      <c r="L1637" s="24">
        <f t="shared" si="653"/>
        <v>0</v>
      </c>
      <c r="M1637" s="87"/>
      <c r="N1637" s="87"/>
      <c r="O1637" s="30"/>
      <c r="P1637" s="30"/>
    </row>
    <row r="1638" spans="1:16" s="1" customFormat="1">
      <c r="A1638" s="28"/>
      <c r="B1638" s="38" t="s">
        <v>30</v>
      </c>
      <c r="C1638" s="24">
        <f t="shared" si="652"/>
        <v>0</v>
      </c>
      <c r="D1638" s="87"/>
      <c r="E1638" s="87"/>
      <c r="F1638" s="30"/>
      <c r="G1638" s="30"/>
      <c r="H1638" s="31"/>
      <c r="I1638" s="31"/>
      <c r="J1638" s="31"/>
      <c r="K1638" s="31"/>
      <c r="L1638" s="24">
        <f t="shared" si="653"/>
        <v>0</v>
      </c>
      <c r="M1638" s="87"/>
      <c r="N1638" s="87"/>
      <c r="O1638" s="30"/>
      <c r="P1638" s="30"/>
    </row>
    <row r="1639" spans="1:16" s="1" customFormat="1">
      <c r="A1639" s="28"/>
      <c r="B1639" s="38" t="s">
        <v>31</v>
      </c>
      <c r="C1639" s="24">
        <f t="shared" si="652"/>
        <v>0</v>
      </c>
      <c r="D1639" s="87"/>
      <c r="E1639" s="87"/>
      <c r="F1639" s="30"/>
      <c r="G1639" s="30"/>
      <c r="H1639" s="31"/>
      <c r="I1639" s="31"/>
      <c r="J1639" s="31"/>
      <c r="K1639" s="31"/>
      <c r="L1639" s="24">
        <f t="shared" si="653"/>
        <v>0</v>
      </c>
      <c r="M1639" s="87"/>
      <c r="N1639" s="87"/>
      <c r="O1639" s="30"/>
      <c r="P1639" s="30"/>
    </row>
    <row r="1640" spans="1:16" s="1" customFormat="1" ht="30">
      <c r="A1640" s="28"/>
      <c r="B1640" s="39" t="s">
        <v>32</v>
      </c>
      <c r="C1640" s="24">
        <f t="shared" si="652"/>
        <v>0</v>
      </c>
      <c r="D1640" s="30"/>
      <c r="E1640" s="30"/>
      <c r="F1640" s="30"/>
      <c r="G1640" s="30"/>
      <c r="H1640" s="31"/>
      <c r="I1640" s="31"/>
      <c r="J1640" s="31"/>
      <c r="K1640" s="31"/>
      <c r="L1640" s="24">
        <f t="shared" si="653"/>
        <v>0</v>
      </c>
      <c r="M1640" s="30"/>
      <c r="N1640" s="30"/>
      <c r="O1640" s="30"/>
      <c r="P1640" s="30"/>
    </row>
    <row r="1641" spans="1:16" s="1" customFormat="1" ht="30">
      <c r="A1641" s="28"/>
      <c r="B1641" s="39" t="s">
        <v>33</v>
      </c>
      <c r="C1641" s="24">
        <f t="shared" si="652"/>
        <v>10840</v>
      </c>
      <c r="D1641" s="30"/>
      <c r="E1641" s="87">
        <f>840+10000</f>
        <v>10840</v>
      </c>
      <c r="F1641" s="30"/>
      <c r="G1641" s="30"/>
      <c r="H1641" s="31"/>
      <c r="I1641" s="31"/>
      <c r="J1641" s="31"/>
      <c r="K1641" s="31"/>
      <c r="L1641" s="24">
        <f t="shared" si="653"/>
        <v>0</v>
      </c>
      <c r="M1641" s="30"/>
      <c r="N1641" s="87"/>
      <c r="O1641" s="30"/>
      <c r="P1641" s="30"/>
    </row>
    <row r="1642" spans="1:16" s="1" customFormat="1" ht="30">
      <c r="A1642" s="28"/>
      <c r="B1642" s="40" t="s">
        <v>34</v>
      </c>
      <c r="C1642" s="24">
        <f t="shared" si="652"/>
        <v>0</v>
      </c>
      <c r="D1642" s="30"/>
      <c r="E1642" s="87"/>
      <c r="F1642" s="30"/>
      <c r="G1642" s="30"/>
      <c r="H1642" s="31"/>
      <c r="I1642" s="31"/>
      <c r="J1642" s="31"/>
      <c r="K1642" s="31"/>
      <c r="L1642" s="24">
        <f t="shared" si="653"/>
        <v>0</v>
      </c>
      <c r="M1642" s="30"/>
      <c r="N1642" s="87"/>
      <c r="O1642" s="30"/>
      <c r="P1642" s="30"/>
    </row>
    <row r="1643" spans="1:16" s="1" customFormat="1">
      <c r="A1643" s="28"/>
      <c r="B1643" s="40" t="s">
        <v>35</v>
      </c>
      <c r="C1643" s="24">
        <f t="shared" si="652"/>
        <v>4500</v>
      </c>
      <c r="D1643" s="30"/>
      <c r="E1643" s="87">
        <v>4500</v>
      </c>
      <c r="F1643" s="30"/>
      <c r="G1643" s="30"/>
      <c r="H1643" s="31"/>
      <c r="I1643" s="31"/>
      <c r="J1643" s="31"/>
      <c r="K1643" s="31"/>
      <c r="L1643" s="24">
        <f t="shared" si="653"/>
        <v>0</v>
      </c>
      <c r="M1643" s="30"/>
      <c r="N1643" s="87"/>
      <c r="O1643" s="30"/>
      <c r="P1643" s="30"/>
    </row>
    <row r="1644" spans="1:16" s="1" customFormat="1" ht="30">
      <c r="A1644" s="28"/>
      <c r="B1644" s="41" t="s">
        <v>36</v>
      </c>
      <c r="C1644" s="24">
        <f t="shared" si="652"/>
        <v>0</v>
      </c>
      <c r="D1644" s="30"/>
      <c r="E1644" s="30"/>
      <c r="F1644" s="30"/>
      <c r="G1644" s="30"/>
      <c r="H1644" s="31"/>
      <c r="I1644" s="31"/>
      <c r="J1644" s="31"/>
      <c r="K1644" s="31"/>
      <c r="L1644" s="24">
        <f t="shared" si="653"/>
        <v>0</v>
      </c>
      <c r="M1644" s="30"/>
      <c r="N1644" s="30"/>
      <c r="O1644" s="30"/>
      <c r="P1644" s="30"/>
    </row>
    <row r="1645" spans="1:16" s="1" customFormat="1">
      <c r="A1645" s="28"/>
      <c r="B1645" s="42" t="s">
        <v>37</v>
      </c>
      <c r="C1645" s="24">
        <f t="shared" si="652"/>
        <v>1350.45</v>
      </c>
      <c r="D1645" s="30">
        <v>4961.91</v>
      </c>
      <c r="E1645" s="30">
        <v>1350.45</v>
      </c>
      <c r="F1645" s="30"/>
      <c r="G1645" s="30"/>
      <c r="H1645" s="31"/>
      <c r="I1645" s="31"/>
      <c r="J1645" s="31"/>
      <c r="K1645" s="31"/>
      <c r="L1645" s="24">
        <f t="shared" si="653"/>
        <v>0</v>
      </c>
      <c r="M1645" s="30">
        <v>4961.91</v>
      </c>
      <c r="N1645" s="30"/>
      <c r="O1645" s="30"/>
      <c r="P1645" s="30"/>
    </row>
    <row r="1646" spans="1:16" s="1" customFormat="1" ht="30">
      <c r="A1646" s="28"/>
      <c r="B1646" s="42" t="s">
        <v>38</v>
      </c>
      <c r="C1646" s="24">
        <f t="shared" si="652"/>
        <v>0</v>
      </c>
      <c r="D1646" s="30"/>
      <c r="E1646" s="30"/>
      <c r="F1646" s="30"/>
      <c r="G1646" s="30"/>
      <c r="H1646" s="31"/>
      <c r="I1646" s="31"/>
      <c r="J1646" s="31"/>
      <c r="K1646" s="31"/>
      <c r="L1646" s="24">
        <f t="shared" si="653"/>
        <v>0</v>
      </c>
      <c r="M1646" s="30"/>
      <c r="N1646" s="30"/>
      <c r="O1646" s="30"/>
      <c r="P1646" s="30"/>
    </row>
    <row r="1647" spans="1:16" s="1" customFormat="1" ht="30">
      <c r="A1647" s="28"/>
      <c r="B1647" s="43" t="s">
        <v>39</v>
      </c>
      <c r="C1647" s="36">
        <f t="shared" ref="C1647:G1647" si="654">SUM(C1648:C1654)</f>
        <v>1980</v>
      </c>
      <c r="D1647" s="36">
        <f t="shared" si="654"/>
        <v>94538.31</v>
      </c>
      <c r="E1647" s="36">
        <f t="shared" si="654"/>
        <v>1980</v>
      </c>
      <c r="F1647" s="36">
        <f t="shared" si="654"/>
        <v>0</v>
      </c>
      <c r="G1647" s="36">
        <f t="shared" si="654"/>
        <v>0</v>
      </c>
      <c r="H1647" s="31"/>
      <c r="I1647" s="31"/>
      <c r="J1647" s="31"/>
      <c r="K1647" s="31"/>
      <c r="L1647" s="36">
        <f t="shared" ref="L1647:P1647" si="655">SUM(L1648:L1654)</f>
        <v>0</v>
      </c>
      <c r="M1647" s="36">
        <f t="shared" si="655"/>
        <v>94538.31</v>
      </c>
      <c r="N1647" s="36">
        <f t="shared" si="655"/>
        <v>0</v>
      </c>
      <c r="O1647" s="36">
        <f t="shared" si="655"/>
        <v>0</v>
      </c>
      <c r="P1647" s="36">
        <f t="shared" si="655"/>
        <v>0</v>
      </c>
    </row>
    <row r="1648" spans="1:16" s="1" customFormat="1" ht="30">
      <c r="A1648" s="28" t="s">
        <v>40</v>
      </c>
      <c r="B1648" s="39" t="s">
        <v>41</v>
      </c>
      <c r="C1648" s="24">
        <f t="shared" ref="C1648:C1654" si="656">E1648+F1648+G1648</f>
        <v>0</v>
      </c>
      <c r="D1648" s="30"/>
      <c r="E1648" s="30"/>
      <c r="F1648" s="30"/>
      <c r="G1648" s="30"/>
      <c r="H1648" s="31"/>
      <c r="I1648" s="31"/>
      <c r="J1648" s="31"/>
      <c r="K1648" s="31"/>
      <c r="L1648" s="24">
        <f t="shared" ref="L1648:L1654" si="657">N1648+O1648+P1648</f>
        <v>0</v>
      </c>
      <c r="M1648" s="30"/>
      <c r="N1648" s="30"/>
      <c r="O1648" s="30"/>
      <c r="P1648" s="30"/>
    </row>
    <row r="1649" spans="1:16" s="1" customFormat="1">
      <c r="A1649" s="28"/>
      <c r="B1649" s="39" t="s">
        <v>42</v>
      </c>
      <c r="C1649" s="24">
        <f t="shared" si="656"/>
        <v>0</v>
      </c>
      <c r="D1649" s="30"/>
      <c r="E1649" s="30"/>
      <c r="F1649" s="30"/>
      <c r="G1649" s="30"/>
      <c r="H1649" s="31"/>
      <c r="I1649" s="31"/>
      <c r="J1649" s="31"/>
      <c r="K1649" s="31"/>
      <c r="L1649" s="24">
        <f t="shared" si="657"/>
        <v>0</v>
      </c>
      <c r="M1649" s="30"/>
      <c r="N1649" s="30"/>
      <c r="O1649" s="30"/>
      <c r="P1649" s="30"/>
    </row>
    <row r="1650" spans="1:16" s="1" customFormat="1">
      <c r="A1650" s="28"/>
      <c r="B1650" s="39" t="s">
        <v>43</v>
      </c>
      <c r="C1650" s="24">
        <f t="shared" si="656"/>
        <v>0</v>
      </c>
      <c r="D1650" s="30"/>
      <c r="E1650" s="30"/>
      <c r="F1650" s="30"/>
      <c r="G1650" s="30"/>
      <c r="H1650" s="31"/>
      <c r="I1650" s="31"/>
      <c r="J1650" s="31"/>
      <c r="K1650" s="31"/>
      <c r="L1650" s="24">
        <f t="shared" si="657"/>
        <v>0</v>
      </c>
      <c r="M1650" s="30"/>
      <c r="N1650" s="30"/>
      <c r="O1650" s="30"/>
      <c r="P1650" s="30"/>
    </row>
    <row r="1651" spans="1:16" s="1" customFormat="1">
      <c r="A1651" s="28"/>
      <c r="B1651" s="39" t="s">
        <v>44</v>
      </c>
      <c r="C1651" s="24">
        <f t="shared" si="656"/>
        <v>0</v>
      </c>
      <c r="D1651" s="30"/>
      <c r="E1651" s="30"/>
      <c r="F1651" s="30"/>
      <c r="G1651" s="30"/>
      <c r="H1651" s="31"/>
      <c r="I1651" s="31"/>
      <c r="J1651" s="31"/>
      <c r="K1651" s="31"/>
      <c r="L1651" s="24">
        <f t="shared" si="657"/>
        <v>0</v>
      </c>
      <c r="M1651" s="30"/>
      <c r="N1651" s="30"/>
      <c r="O1651" s="30"/>
      <c r="P1651" s="30"/>
    </row>
    <row r="1652" spans="1:16" s="1" customFormat="1">
      <c r="A1652" s="28"/>
      <c r="B1652" s="39" t="s">
        <v>45</v>
      </c>
      <c r="C1652" s="24">
        <f t="shared" si="656"/>
        <v>0</v>
      </c>
      <c r="D1652" s="30">
        <v>94538.31</v>
      </c>
      <c r="E1652" s="30"/>
      <c r="F1652" s="30"/>
      <c r="G1652" s="30"/>
      <c r="H1652" s="31"/>
      <c r="I1652" s="31"/>
      <c r="J1652" s="31"/>
      <c r="K1652" s="31"/>
      <c r="L1652" s="24">
        <f t="shared" si="657"/>
        <v>0</v>
      </c>
      <c r="M1652" s="30">
        <v>94538.31</v>
      </c>
      <c r="N1652" s="30"/>
      <c r="O1652" s="30"/>
      <c r="P1652" s="30"/>
    </row>
    <row r="1653" spans="1:16" s="1" customFormat="1" ht="30">
      <c r="A1653" s="28"/>
      <c r="B1653" s="39" t="s">
        <v>46</v>
      </c>
      <c r="C1653" s="24">
        <f t="shared" si="656"/>
        <v>0</v>
      </c>
      <c r="D1653" s="30"/>
      <c r="E1653" s="30"/>
      <c r="F1653" s="30"/>
      <c r="G1653" s="30"/>
      <c r="H1653" s="31"/>
      <c r="I1653" s="31"/>
      <c r="J1653" s="31"/>
      <c r="K1653" s="31"/>
      <c r="L1653" s="24">
        <f t="shared" si="657"/>
        <v>0</v>
      </c>
      <c r="M1653" s="30"/>
      <c r="N1653" s="30"/>
      <c r="O1653" s="30"/>
      <c r="P1653" s="30"/>
    </row>
    <row r="1654" spans="1:16" s="1" customFormat="1">
      <c r="A1654" s="28"/>
      <c r="B1654" s="39" t="s">
        <v>47</v>
      </c>
      <c r="C1654" s="24">
        <f t="shared" si="656"/>
        <v>1980</v>
      </c>
      <c r="D1654" s="30"/>
      <c r="E1654" s="30">
        <v>1980</v>
      </c>
      <c r="F1654" s="30"/>
      <c r="G1654" s="30"/>
      <c r="H1654" s="31"/>
      <c r="I1654" s="31"/>
      <c r="J1654" s="31"/>
      <c r="K1654" s="31"/>
      <c r="L1654" s="24">
        <f t="shared" si="657"/>
        <v>0</v>
      </c>
      <c r="M1654" s="30"/>
      <c r="N1654" s="30"/>
      <c r="O1654" s="30"/>
      <c r="P1654" s="30"/>
    </row>
    <row r="1655" spans="1:16" s="1" customFormat="1" ht="36.75" customHeight="1">
      <c r="A1655" s="211" t="s">
        <v>3</v>
      </c>
      <c r="B1655" s="213" t="s">
        <v>4</v>
      </c>
      <c r="C1655" s="213" t="s">
        <v>5</v>
      </c>
      <c r="D1655" s="10" t="s">
        <v>6</v>
      </c>
      <c r="E1655" s="215" t="s">
        <v>7</v>
      </c>
      <c r="F1655" s="216"/>
      <c r="G1655" s="217"/>
      <c r="H1655" s="218" t="s">
        <v>8</v>
      </c>
      <c r="I1655" s="218"/>
      <c r="J1655" s="218"/>
      <c r="K1655" s="11"/>
      <c r="L1655" s="219" t="s">
        <v>9</v>
      </c>
      <c r="M1655" s="12" t="s">
        <v>6</v>
      </c>
      <c r="N1655" s="208" t="s">
        <v>10</v>
      </c>
      <c r="O1655" s="209"/>
      <c r="P1655" s="210"/>
    </row>
    <row r="1656" spans="1:16" s="1" customFormat="1" ht="47.25" customHeight="1">
      <c r="A1656" s="212"/>
      <c r="B1656" s="214"/>
      <c r="C1656" s="214"/>
      <c r="D1656" s="13" t="s">
        <v>11</v>
      </c>
      <c r="E1656" s="13" t="s">
        <v>12</v>
      </c>
      <c r="F1656" s="13" t="s">
        <v>13</v>
      </c>
      <c r="G1656" s="13" t="s">
        <v>14</v>
      </c>
      <c r="H1656" s="14" t="s">
        <v>15</v>
      </c>
      <c r="I1656" s="14" t="s">
        <v>16</v>
      </c>
      <c r="J1656" s="14" t="s">
        <v>17</v>
      </c>
      <c r="K1656" s="14" t="s">
        <v>18</v>
      </c>
      <c r="L1656" s="220"/>
      <c r="M1656" s="15" t="s">
        <v>11</v>
      </c>
      <c r="N1656" s="15" t="s">
        <v>12</v>
      </c>
      <c r="O1656" s="15" t="s">
        <v>13</v>
      </c>
      <c r="P1656" s="15" t="s">
        <v>14</v>
      </c>
    </row>
    <row r="1657" spans="1:16" s="1" customFormat="1">
      <c r="A1657" s="109">
        <v>1</v>
      </c>
      <c r="B1657" s="117"/>
      <c r="C1657" s="111">
        <f t="shared" ref="C1657:G1657" si="658">C1658+C1659+C1660+C1661+C1662+C1663+C1664+C1665+C1670+C1671+C1672+C1673+C1674+C1675+C1676+C1677</f>
        <v>0</v>
      </c>
      <c r="D1657" s="111">
        <f t="shared" si="658"/>
        <v>0</v>
      </c>
      <c r="E1657" s="111">
        <f t="shared" si="658"/>
        <v>0</v>
      </c>
      <c r="F1657" s="111">
        <f t="shared" si="658"/>
        <v>0</v>
      </c>
      <c r="G1657" s="111">
        <f t="shared" si="658"/>
        <v>0</v>
      </c>
      <c r="H1657" s="112"/>
      <c r="I1657" s="113"/>
      <c r="J1657" s="113"/>
      <c r="K1657" s="114"/>
      <c r="L1657" s="111">
        <f t="shared" ref="L1657:P1657" si="659">L1658+L1659+L1660+L1661+L1662+L1663+L1664+L1665+L1670+L1671+L1672+L1673+L1674+L1675+L1676+L1677</f>
        <v>0</v>
      </c>
      <c r="M1657" s="111">
        <f t="shared" si="659"/>
        <v>0</v>
      </c>
      <c r="N1657" s="111">
        <f t="shared" si="659"/>
        <v>0</v>
      </c>
      <c r="O1657" s="111">
        <f t="shared" si="659"/>
        <v>0</v>
      </c>
      <c r="P1657" s="111">
        <f t="shared" si="659"/>
        <v>0</v>
      </c>
    </row>
    <row r="1658" spans="1:16" s="5" customFormat="1">
      <c r="A1658" s="22"/>
      <c r="B1658" s="23" t="s">
        <v>20</v>
      </c>
      <c r="C1658" s="24">
        <f t="shared" ref="C1658:C1664" si="660">E1658+F1658+G1658</f>
        <v>0</v>
      </c>
      <c r="D1658" s="25"/>
      <c r="E1658" s="25"/>
      <c r="F1658" s="25"/>
      <c r="G1658" s="25"/>
      <c r="H1658" s="60"/>
      <c r="I1658" s="61"/>
      <c r="J1658" s="61"/>
      <c r="K1658" s="27"/>
      <c r="L1658" s="24">
        <f t="shared" ref="L1658:L1664" si="661">N1658+O1658+P1658</f>
        <v>0</v>
      </c>
      <c r="M1658" s="25"/>
      <c r="N1658" s="25"/>
      <c r="O1658" s="25"/>
      <c r="P1658" s="25"/>
    </row>
    <row r="1659" spans="1:16" s="1" customFormat="1">
      <c r="A1659" s="28"/>
      <c r="B1659" s="29" t="s">
        <v>21</v>
      </c>
      <c r="C1659" s="24">
        <f t="shared" si="660"/>
        <v>0</v>
      </c>
      <c r="D1659" s="30"/>
      <c r="E1659" s="30"/>
      <c r="F1659" s="30"/>
      <c r="G1659" s="30"/>
      <c r="H1659" s="31"/>
      <c r="I1659" s="31"/>
      <c r="J1659" s="31"/>
      <c r="K1659" s="31"/>
      <c r="L1659" s="24">
        <f t="shared" si="661"/>
        <v>0</v>
      </c>
      <c r="M1659" s="30"/>
      <c r="N1659" s="30"/>
      <c r="O1659" s="30"/>
      <c r="P1659" s="30"/>
    </row>
    <row r="1660" spans="1:16" s="1" customFormat="1">
      <c r="A1660" s="28"/>
      <c r="B1660" s="32" t="s">
        <v>22</v>
      </c>
      <c r="C1660" s="24">
        <f t="shared" si="660"/>
        <v>0</v>
      </c>
      <c r="D1660" s="30"/>
      <c r="E1660" s="30"/>
      <c r="F1660" s="30"/>
      <c r="G1660" s="30"/>
      <c r="H1660" s="31"/>
      <c r="I1660" s="31"/>
      <c r="J1660" s="31"/>
      <c r="K1660" s="31"/>
      <c r="L1660" s="24">
        <f t="shared" si="661"/>
        <v>0</v>
      </c>
      <c r="M1660" s="30"/>
      <c r="N1660" s="30"/>
      <c r="O1660" s="30"/>
      <c r="P1660" s="30"/>
    </row>
    <row r="1661" spans="1:16" s="1" customFormat="1">
      <c r="A1661" s="28"/>
      <c r="B1661" s="32" t="s">
        <v>23</v>
      </c>
      <c r="C1661" s="24">
        <f t="shared" si="660"/>
        <v>0</v>
      </c>
      <c r="D1661" s="30"/>
      <c r="E1661" s="30"/>
      <c r="F1661" s="30"/>
      <c r="G1661" s="30"/>
      <c r="H1661" s="31"/>
      <c r="I1661" s="31"/>
      <c r="J1661" s="31"/>
      <c r="K1661" s="31"/>
      <c r="L1661" s="24">
        <f t="shared" si="661"/>
        <v>0</v>
      </c>
      <c r="M1661" s="30"/>
      <c r="N1661" s="30"/>
      <c r="O1661" s="30"/>
      <c r="P1661" s="30"/>
    </row>
    <row r="1662" spans="1:16" s="1" customFormat="1">
      <c r="A1662" s="28"/>
      <c r="B1662" s="29" t="s">
        <v>24</v>
      </c>
      <c r="C1662" s="24">
        <f t="shared" si="660"/>
        <v>0</v>
      </c>
      <c r="D1662" s="30"/>
      <c r="E1662" s="30"/>
      <c r="F1662" s="30"/>
      <c r="G1662" s="30"/>
      <c r="H1662" s="31"/>
      <c r="I1662" s="31"/>
      <c r="J1662" s="31"/>
      <c r="K1662" s="31"/>
      <c r="L1662" s="24">
        <f t="shared" si="661"/>
        <v>0</v>
      </c>
      <c r="M1662" s="30"/>
      <c r="N1662" s="30"/>
      <c r="O1662" s="30"/>
      <c r="P1662" s="30"/>
    </row>
    <row r="1663" spans="1:16" s="1" customFormat="1">
      <c r="A1663" s="28"/>
      <c r="B1663" s="34" t="s">
        <v>25</v>
      </c>
      <c r="C1663" s="24">
        <f t="shared" si="660"/>
        <v>0</v>
      </c>
      <c r="D1663" s="30"/>
      <c r="E1663" s="30"/>
      <c r="F1663" s="30"/>
      <c r="G1663" s="30"/>
      <c r="H1663" s="31"/>
      <c r="I1663" s="31"/>
      <c r="J1663" s="31"/>
      <c r="K1663" s="31"/>
      <c r="L1663" s="24">
        <f t="shared" si="661"/>
        <v>0</v>
      </c>
      <c r="M1663" s="30"/>
      <c r="N1663" s="30"/>
      <c r="O1663" s="30"/>
      <c r="P1663" s="30"/>
    </row>
    <row r="1664" spans="1:16" s="1" customFormat="1">
      <c r="A1664" s="28"/>
      <c r="B1664" s="32" t="s">
        <v>26</v>
      </c>
      <c r="C1664" s="24">
        <f t="shared" si="660"/>
        <v>0</v>
      </c>
      <c r="D1664" s="30"/>
      <c r="E1664" s="30"/>
      <c r="F1664" s="30"/>
      <c r="G1664" s="30"/>
      <c r="H1664" s="31"/>
      <c r="I1664" s="31"/>
      <c r="J1664" s="31"/>
      <c r="K1664" s="31"/>
      <c r="L1664" s="24">
        <f t="shared" si="661"/>
        <v>0</v>
      </c>
      <c r="M1664" s="30"/>
      <c r="N1664" s="30"/>
      <c r="O1664" s="30"/>
      <c r="P1664" s="30"/>
    </row>
    <row r="1665" spans="1:16" s="1" customFormat="1" ht="30">
      <c r="A1665" s="28"/>
      <c r="B1665" s="35" t="s">
        <v>27</v>
      </c>
      <c r="C1665" s="36">
        <f t="shared" ref="C1665:G1665" si="662">SUM(C1666:C1669)</f>
        <v>0</v>
      </c>
      <c r="D1665" s="36">
        <f t="shared" si="662"/>
        <v>0</v>
      </c>
      <c r="E1665" s="36">
        <f t="shared" si="662"/>
        <v>0</v>
      </c>
      <c r="F1665" s="36">
        <f t="shared" si="662"/>
        <v>0</v>
      </c>
      <c r="G1665" s="36">
        <f t="shared" si="662"/>
        <v>0</v>
      </c>
      <c r="H1665" s="31"/>
      <c r="I1665" s="31"/>
      <c r="J1665" s="31"/>
      <c r="K1665" s="31"/>
      <c r="L1665" s="36">
        <f t="shared" ref="L1665:P1665" si="663">SUM(L1666:L1669)</f>
        <v>0</v>
      </c>
      <c r="M1665" s="36">
        <f t="shared" si="663"/>
        <v>0</v>
      </c>
      <c r="N1665" s="36">
        <f t="shared" si="663"/>
        <v>0</v>
      </c>
      <c r="O1665" s="36">
        <f t="shared" si="663"/>
        <v>0</v>
      </c>
      <c r="P1665" s="36">
        <f t="shared" si="663"/>
        <v>0</v>
      </c>
    </row>
    <row r="1666" spans="1:16" s="1" customFormat="1">
      <c r="A1666" s="28"/>
      <c r="B1666" s="38" t="s">
        <v>28</v>
      </c>
      <c r="C1666" s="24">
        <f t="shared" ref="C1666:C1676" si="664">E1666+F1666+G1666</f>
        <v>0</v>
      </c>
      <c r="D1666" s="30"/>
      <c r="E1666" s="30"/>
      <c r="F1666" s="30"/>
      <c r="G1666" s="30"/>
      <c r="H1666" s="31"/>
      <c r="I1666" s="31"/>
      <c r="J1666" s="31"/>
      <c r="K1666" s="31"/>
      <c r="L1666" s="24">
        <f t="shared" ref="L1666:L1676" si="665">N1666+O1666+P1666</f>
        <v>0</v>
      </c>
      <c r="M1666" s="30"/>
      <c r="N1666" s="30"/>
      <c r="O1666" s="30"/>
      <c r="P1666" s="30"/>
    </row>
    <row r="1667" spans="1:16" s="1" customFormat="1">
      <c r="A1667" s="28"/>
      <c r="B1667" s="38" t="s">
        <v>29</v>
      </c>
      <c r="C1667" s="24">
        <f t="shared" si="664"/>
        <v>0</v>
      </c>
      <c r="D1667" s="30"/>
      <c r="E1667" s="30"/>
      <c r="F1667" s="30"/>
      <c r="G1667" s="30"/>
      <c r="H1667" s="31"/>
      <c r="I1667" s="31"/>
      <c r="J1667" s="31"/>
      <c r="K1667" s="31"/>
      <c r="L1667" s="24">
        <f t="shared" si="665"/>
        <v>0</v>
      </c>
      <c r="M1667" s="30"/>
      <c r="N1667" s="30"/>
      <c r="O1667" s="30"/>
      <c r="P1667" s="30"/>
    </row>
    <row r="1668" spans="1:16" s="1" customFormat="1">
      <c r="A1668" s="28"/>
      <c r="B1668" s="38" t="s">
        <v>30</v>
      </c>
      <c r="C1668" s="24">
        <f t="shared" si="664"/>
        <v>0</v>
      </c>
      <c r="D1668" s="30"/>
      <c r="E1668" s="30"/>
      <c r="F1668" s="30"/>
      <c r="G1668" s="30"/>
      <c r="H1668" s="31"/>
      <c r="I1668" s="31"/>
      <c r="J1668" s="31"/>
      <c r="K1668" s="31"/>
      <c r="L1668" s="24">
        <f t="shared" si="665"/>
        <v>0</v>
      </c>
      <c r="M1668" s="30"/>
      <c r="N1668" s="30"/>
      <c r="O1668" s="30"/>
      <c r="P1668" s="30"/>
    </row>
    <row r="1669" spans="1:16" s="1" customFormat="1">
      <c r="A1669" s="28"/>
      <c r="B1669" s="38" t="s">
        <v>31</v>
      </c>
      <c r="C1669" s="24">
        <f t="shared" si="664"/>
        <v>0</v>
      </c>
      <c r="D1669" s="30"/>
      <c r="E1669" s="30"/>
      <c r="F1669" s="30"/>
      <c r="G1669" s="30"/>
      <c r="H1669" s="31"/>
      <c r="I1669" s="31"/>
      <c r="J1669" s="31"/>
      <c r="K1669" s="31"/>
      <c r="L1669" s="24">
        <f t="shared" si="665"/>
        <v>0</v>
      </c>
      <c r="M1669" s="30"/>
      <c r="N1669" s="30"/>
      <c r="O1669" s="30"/>
      <c r="P1669" s="30"/>
    </row>
    <row r="1670" spans="1:16" s="1" customFormat="1" ht="30">
      <c r="A1670" s="28"/>
      <c r="B1670" s="39" t="s">
        <v>32</v>
      </c>
      <c r="C1670" s="24">
        <f t="shared" si="664"/>
        <v>0</v>
      </c>
      <c r="D1670" s="30"/>
      <c r="E1670" s="30"/>
      <c r="F1670" s="30"/>
      <c r="G1670" s="30"/>
      <c r="H1670" s="31"/>
      <c r="I1670" s="31"/>
      <c r="J1670" s="31"/>
      <c r="K1670" s="31"/>
      <c r="L1670" s="24">
        <f t="shared" si="665"/>
        <v>0</v>
      </c>
      <c r="M1670" s="30"/>
      <c r="N1670" s="30"/>
      <c r="O1670" s="30"/>
      <c r="P1670" s="30"/>
    </row>
    <row r="1671" spans="1:16" s="1" customFormat="1" ht="30">
      <c r="A1671" s="28"/>
      <c r="B1671" s="39" t="s">
        <v>33</v>
      </c>
      <c r="C1671" s="24">
        <f t="shared" si="664"/>
        <v>0</v>
      </c>
      <c r="D1671" s="30"/>
      <c r="E1671" s="30"/>
      <c r="F1671" s="30"/>
      <c r="G1671" s="30"/>
      <c r="H1671" s="31"/>
      <c r="I1671" s="31"/>
      <c r="J1671" s="31"/>
      <c r="K1671" s="31"/>
      <c r="L1671" s="24">
        <f t="shared" si="665"/>
        <v>0</v>
      </c>
      <c r="M1671" s="30"/>
      <c r="N1671" s="30"/>
      <c r="O1671" s="30"/>
      <c r="P1671" s="30"/>
    </row>
    <row r="1672" spans="1:16" s="1" customFormat="1" ht="30">
      <c r="A1672" s="28"/>
      <c r="B1672" s="40" t="s">
        <v>34</v>
      </c>
      <c r="C1672" s="24">
        <f t="shared" si="664"/>
        <v>0</v>
      </c>
      <c r="D1672" s="30"/>
      <c r="E1672" s="30"/>
      <c r="F1672" s="30"/>
      <c r="G1672" s="30"/>
      <c r="H1672" s="31"/>
      <c r="I1672" s="31"/>
      <c r="J1672" s="31"/>
      <c r="K1672" s="31"/>
      <c r="L1672" s="24">
        <f t="shared" si="665"/>
        <v>0</v>
      </c>
      <c r="M1672" s="30"/>
      <c r="N1672" s="30"/>
      <c r="O1672" s="30"/>
      <c r="P1672" s="30"/>
    </row>
    <row r="1673" spans="1:16" s="1" customFormat="1">
      <c r="A1673" s="28"/>
      <c r="B1673" s="40" t="s">
        <v>35</v>
      </c>
      <c r="C1673" s="24">
        <f t="shared" si="664"/>
        <v>0</v>
      </c>
      <c r="D1673" s="30"/>
      <c r="E1673" s="30"/>
      <c r="F1673" s="30"/>
      <c r="G1673" s="30"/>
      <c r="H1673" s="31"/>
      <c r="I1673" s="31"/>
      <c r="J1673" s="31"/>
      <c r="K1673" s="31"/>
      <c r="L1673" s="24">
        <f t="shared" si="665"/>
        <v>0</v>
      </c>
      <c r="M1673" s="30"/>
      <c r="N1673" s="30"/>
      <c r="O1673" s="30"/>
      <c r="P1673" s="30"/>
    </row>
    <row r="1674" spans="1:16" s="1" customFormat="1" ht="30">
      <c r="A1674" s="28"/>
      <c r="B1674" s="41" t="s">
        <v>36</v>
      </c>
      <c r="C1674" s="24">
        <f t="shared" si="664"/>
        <v>0</v>
      </c>
      <c r="D1674" s="30"/>
      <c r="E1674" s="30"/>
      <c r="F1674" s="30"/>
      <c r="G1674" s="30"/>
      <c r="H1674" s="31"/>
      <c r="I1674" s="31"/>
      <c r="J1674" s="31"/>
      <c r="K1674" s="31"/>
      <c r="L1674" s="24">
        <f t="shared" si="665"/>
        <v>0</v>
      </c>
      <c r="M1674" s="30"/>
      <c r="N1674" s="30"/>
      <c r="O1674" s="30"/>
      <c r="P1674" s="30"/>
    </row>
    <row r="1675" spans="1:16" s="1" customFormat="1">
      <c r="A1675" s="28"/>
      <c r="B1675" s="42" t="s">
        <v>37</v>
      </c>
      <c r="C1675" s="24">
        <f t="shared" si="664"/>
        <v>0</v>
      </c>
      <c r="D1675" s="30"/>
      <c r="E1675" s="30"/>
      <c r="F1675" s="30"/>
      <c r="G1675" s="30"/>
      <c r="H1675" s="31"/>
      <c r="I1675" s="31"/>
      <c r="J1675" s="31"/>
      <c r="K1675" s="31"/>
      <c r="L1675" s="24">
        <f t="shared" si="665"/>
        <v>0</v>
      </c>
      <c r="M1675" s="30"/>
      <c r="N1675" s="30"/>
      <c r="O1675" s="30"/>
      <c r="P1675" s="30"/>
    </row>
    <row r="1676" spans="1:16" s="1" customFormat="1" ht="30">
      <c r="A1676" s="28"/>
      <c r="B1676" s="42" t="s">
        <v>38</v>
      </c>
      <c r="C1676" s="24">
        <f t="shared" si="664"/>
        <v>0</v>
      </c>
      <c r="D1676" s="30"/>
      <c r="E1676" s="30"/>
      <c r="F1676" s="30"/>
      <c r="G1676" s="30"/>
      <c r="H1676" s="31"/>
      <c r="I1676" s="31"/>
      <c r="J1676" s="31"/>
      <c r="K1676" s="31"/>
      <c r="L1676" s="24">
        <f t="shared" si="665"/>
        <v>0</v>
      </c>
      <c r="M1676" s="30"/>
      <c r="N1676" s="30"/>
      <c r="O1676" s="30"/>
      <c r="P1676" s="30"/>
    </row>
    <row r="1677" spans="1:16" s="1" customFormat="1" ht="30">
      <c r="A1677" s="28"/>
      <c r="B1677" s="43" t="s">
        <v>39</v>
      </c>
      <c r="C1677" s="36">
        <f t="shared" ref="C1677:G1677" si="666">SUM(C1678:C1684)</f>
        <v>0</v>
      </c>
      <c r="D1677" s="36">
        <f t="shared" si="666"/>
        <v>0</v>
      </c>
      <c r="E1677" s="36">
        <f t="shared" si="666"/>
        <v>0</v>
      </c>
      <c r="F1677" s="36">
        <f t="shared" si="666"/>
        <v>0</v>
      </c>
      <c r="G1677" s="36">
        <f t="shared" si="666"/>
        <v>0</v>
      </c>
      <c r="H1677" s="31"/>
      <c r="I1677" s="31"/>
      <c r="J1677" s="31"/>
      <c r="K1677" s="31"/>
      <c r="L1677" s="36">
        <f t="shared" ref="L1677:P1677" si="667">SUM(L1678:L1684)</f>
        <v>0</v>
      </c>
      <c r="M1677" s="36">
        <f t="shared" si="667"/>
        <v>0</v>
      </c>
      <c r="N1677" s="36">
        <f t="shared" si="667"/>
        <v>0</v>
      </c>
      <c r="O1677" s="36">
        <f t="shared" si="667"/>
        <v>0</v>
      </c>
      <c r="P1677" s="36">
        <f t="shared" si="667"/>
        <v>0</v>
      </c>
    </row>
    <row r="1678" spans="1:16" s="1" customFormat="1" ht="30">
      <c r="A1678" s="28" t="s">
        <v>40</v>
      </c>
      <c r="B1678" s="39" t="s">
        <v>41</v>
      </c>
      <c r="C1678" s="24">
        <f t="shared" ref="C1678:C1684" si="668">E1678+F1678+G1678</f>
        <v>0</v>
      </c>
      <c r="D1678" s="30"/>
      <c r="E1678" s="30"/>
      <c r="F1678" s="30"/>
      <c r="G1678" s="30"/>
      <c r="H1678" s="31"/>
      <c r="I1678" s="31"/>
      <c r="J1678" s="31"/>
      <c r="K1678" s="31"/>
      <c r="L1678" s="24">
        <f t="shared" ref="L1678:L1684" si="669">N1678+O1678+P1678</f>
        <v>0</v>
      </c>
      <c r="M1678" s="30"/>
      <c r="N1678" s="30"/>
      <c r="O1678" s="30"/>
      <c r="P1678" s="30"/>
    </row>
    <row r="1679" spans="1:16" s="1" customFormat="1">
      <c r="A1679" s="28"/>
      <c r="B1679" s="39" t="s">
        <v>42</v>
      </c>
      <c r="C1679" s="24">
        <f t="shared" si="668"/>
        <v>0</v>
      </c>
      <c r="D1679" s="30"/>
      <c r="E1679" s="30"/>
      <c r="F1679" s="30"/>
      <c r="G1679" s="30"/>
      <c r="H1679" s="31"/>
      <c r="I1679" s="31"/>
      <c r="J1679" s="31"/>
      <c r="K1679" s="31"/>
      <c r="L1679" s="24">
        <f t="shared" si="669"/>
        <v>0</v>
      </c>
      <c r="M1679" s="30"/>
      <c r="N1679" s="30"/>
      <c r="O1679" s="30"/>
      <c r="P1679" s="30"/>
    </row>
    <row r="1680" spans="1:16" s="1" customFormat="1">
      <c r="A1680" s="28"/>
      <c r="B1680" s="39" t="s">
        <v>43</v>
      </c>
      <c r="C1680" s="24">
        <f t="shared" si="668"/>
        <v>0</v>
      </c>
      <c r="D1680" s="30"/>
      <c r="E1680" s="30"/>
      <c r="F1680" s="30"/>
      <c r="G1680" s="30"/>
      <c r="H1680" s="31"/>
      <c r="I1680" s="31"/>
      <c r="J1680" s="31"/>
      <c r="K1680" s="31"/>
      <c r="L1680" s="24">
        <f t="shared" si="669"/>
        <v>0</v>
      </c>
      <c r="M1680" s="30"/>
      <c r="N1680" s="30"/>
      <c r="O1680" s="30"/>
      <c r="P1680" s="30"/>
    </row>
    <row r="1681" spans="1:16" s="1" customFormat="1">
      <c r="A1681" s="28"/>
      <c r="B1681" s="39" t="s">
        <v>44</v>
      </c>
      <c r="C1681" s="24">
        <f t="shared" si="668"/>
        <v>0</v>
      </c>
      <c r="D1681" s="30"/>
      <c r="E1681" s="30"/>
      <c r="F1681" s="30"/>
      <c r="G1681" s="30"/>
      <c r="H1681" s="31"/>
      <c r="I1681" s="31"/>
      <c r="J1681" s="31"/>
      <c r="K1681" s="31"/>
      <c r="L1681" s="24">
        <f t="shared" si="669"/>
        <v>0</v>
      </c>
      <c r="M1681" s="30"/>
      <c r="N1681" s="30"/>
      <c r="O1681" s="30"/>
      <c r="P1681" s="30"/>
    </row>
    <row r="1682" spans="1:16" s="1" customFormat="1">
      <c r="A1682" s="28"/>
      <c r="B1682" s="39" t="s">
        <v>45</v>
      </c>
      <c r="C1682" s="24">
        <f t="shared" si="668"/>
        <v>0</v>
      </c>
      <c r="D1682" s="30"/>
      <c r="E1682" s="30"/>
      <c r="F1682" s="30"/>
      <c r="G1682" s="30"/>
      <c r="H1682" s="31"/>
      <c r="I1682" s="31"/>
      <c r="J1682" s="31"/>
      <c r="K1682" s="31"/>
      <c r="L1682" s="24">
        <f t="shared" si="669"/>
        <v>0</v>
      </c>
      <c r="M1682" s="30"/>
      <c r="N1682" s="30"/>
      <c r="O1682" s="30"/>
      <c r="P1682" s="30"/>
    </row>
    <row r="1683" spans="1:16" s="1" customFormat="1" ht="30">
      <c r="A1683" s="28"/>
      <c r="B1683" s="39" t="s">
        <v>46</v>
      </c>
      <c r="C1683" s="24">
        <f t="shared" si="668"/>
        <v>0</v>
      </c>
      <c r="D1683" s="30"/>
      <c r="E1683" s="30"/>
      <c r="F1683" s="30"/>
      <c r="G1683" s="30"/>
      <c r="H1683" s="31"/>
      <c r="I1683" s="31"/>
      <c r="J1683" s="31"/>
      <c r="K1683" s="31"/>
      <c r="L1683" s="24">
        <f t="shared" si="669"/>
        <v>0</v>
      </c>
      <c r="M1683" s="30"/>
      <c r="N1683" s="30"/>
      <c r="O1683" s="30"/>
      <c r="P1683" s="30"/>
    </row>
    <row r="1684" spans="1:16" s="1" customFormat="1">
      <c r="A1684" s="28"/>
      <c r="B1684" s="39" t="s">
        <v>47</v>
      </c>
      <c r="C1684" s="24">
        <f t="shared" si="668"/>
        <v>0</v>
      </c>
      <c r="D1684" s="30"/>
      <c r="E1684" s="30"/>
      <c r="F1684" s="30"/>
      <c r="G1684" s="30"/>
      <c r="H1684" s="31"/>
      <c r="I1684" s="31"/>
      <c r="J1684" s="31"/>
      <c r="K1684" s="31"/>
      <c r="L1684" s="24">
        <f t="shared" si="669"/>
        <v>0</v>
      </c>
      <c r="M1684" s="30"/>
      <c r="N1684" s="30"/>
      <c r="O1684" s="30"/>
      <c r="P1684" s="30"/>
    </row>
    <row r="1685" spans="1:16" s="1" customFormat="1" ht="36.75" customHeight="1">
      <c r="A1685" s="211" t="s">
        <v>3</v>
      </c>
      <c r="B1685" s="213" t="s">
        <v>4</v>
      </c>
      <c r="C1685" s="213" t="s">
        <v>5</v>
      </c>
      <c r="D1685" s="10" t="s">
        <v>6</v>
      </c>
      <c r="E1685" s="215" t="s">
        <v>7</v>
      </c>
      <c r="F1685" s="216"/>
      <c r="G1685" s="217"/>
      <c r="H1685" s="218" t="s">
        <v>8</v>
      </c>
      <c r="I1685" s="218"/>
      <c r="J1685" s="218"/>
      <c r="K1685" s="11"/>
      <c r="L1685" s="219" t="s">
        <v>9</v>
      </c>
      <c r="M1685" s="12" t="s">
        <v>6</v>
      </c>
      <c r="N1685" s="208" t="s">
        <v>10</v>
      </c>
      <c r="O1685" s="209"/>
      <c r="P1685" s="210"/>
    </row>
    <row r="1686" spans="1:16" s="1" customFormat="1" ht="47.25" customHeight="1">
      <c r="A1686" s="212"/>
      <c r="B1686" s="214"/>
      <c r="C1686" s="214"/>
      <c r="D1686" s="13" t="s">
        <v>11</v>
      </c>
      <c r="E1686" s="13" t="s">
        <v>12</v>
      </c>
      <c r="F1686" s="13" t="s">
        <v>13</v>
      </c>
      <c r="G1686" s="13" t="s">
        <v>14</v>
      </c>
      <c r="H1686" s="14" t="s">
        <v>15</v>
      </c>
      <c r="I1686" s="14" t="s">
        <v>16</v>
      </c>
      <c r="J1686" s="14" t="s">
        <v>17</v>
      </c>
      <c r="K1686" s="14" t="s">
        <v>18</v>
      </c>
      <c r="L1686" s="220"/>
      <c r="M1686" s="15" t="s">
        <v>11</v>
      </c>
      <c r="N1686" s="15" t="s">
        <v>12</v>
      </c>
      <c r="O1686" s="15" t="s">
        <v>13</v>
      </c>
      <c r="P1686" s="15" t="s">
        <v>14</v>
      </c>
    </row>
    <row r="1687" spans="1:16" s="1" customFormat="1">
      <c r="A1687" s="109">
        <v>1</v>
      </c>
      <c r="B1687" s="117" t="s">
        <v>99</v>
      </c>
      <c r="C1687" s="111">
        <f t="shared" ref="C1687:G1687" si="670">C1688+C1689+C1690+C1691+C1692+C1693+C1694+C1695+C1700+C1701+C1702+C1703+C1704+C1705+C1706+C1707</f>
        <v>0</v>
      </c>
      <c r="D1687" s="111">
        <f t="shared" si="670"/>
        <v>0</v>
      </c>
      <c r="E1687" s="111">
        <f t="shared" si="670"/>
        <v>0</v>
      </c>
      <c r="F1687" s="111">
        <f t="shared" si="670"/>
        <v>0</v>
      </c>
      <c r="G1687" s="111">
        <f t="shared" si="670"/>
        <v>0</v>
      </c>
      <c r="H1687" s="112"/>
      <c r="I1687" s="113"/>
      <c r="J1687" s="113"/>
      <c r="K1687" s="114"/>
      <c r="L1687" s="111">
        <f t="shared" ref="L1687:P1687" si="671">L1688+L1689+L1690+L1691+L1692+L1693+L1694+L1695+L1700+L1701+L1702+L1703+L1704+L1705+L1706+L1707</f>
        <v>0</v>
      </c>
      <c r="M1687" s="111">
        <f t="shared" si="671"/>
        <v>0</v>
      </c>
      <c r="N1687" s="111">
        <f t="shared" si="671"/>
        <v>0</v>
      </c>
      <c r="O1687" s="111">
        <f t="shared" si="671"/>
        <v>0</v>
      </c>
      <c r="P1687" s="111">
        <f t="shared" si="671"/>
        <v>0</v>
      </c>
    </row>
    <row r="1688" spans="1:16" s="5" customFormat="1">
      <c r="A1688" s="22"/>
      <c r="B1688" s="23" t="s">
        <v>20</v>
      </c>
      <c r="C1688" s="24">
        <f t="shared" ref="C1688:C1694" si="672">E1688+F1688+G1688</f>
        <v>0</v>
      </c>
      <c r="D1688" s="25"/>
      <c r="E1688" s="25"/>
      <c r="F1688" s="25"/>
      <c r="G1688" s="25"/>
      <c r="H1688" s="60"/>
      <c r="I1688" s="61"/>
      <c r="J1688" s="61"/>
      <c r="K1688" s="27"/>
      <c r="L1688" s="24">
        <f t="shared" ref="L1688:L1694" si="673">N1688+O1688+P1688</f>
        <v>0</v>
      </c>
      <c r="M1688" s="25"/>
      <c r="N1688" s="25"/>
      <c r="O1688" s="25"/>
      <c r="P1688" s="25"/>
    </row>
    <row r="1689" spans="1:16" s="1" customFormat="1">
      <c r="A1689" s="28"/>
      <c r="B1689" s="29" t="s">
        <v>21</v>
      </c>
      <c r="C1689" s="24">
        <f t="shared" si="672"/>
        <v>0</v>
      </c>
      <c r="D1689" s="30"/>
      <c r="E1689" s="30"/>
      <c r="F1689" s="30"/>
      <c r="G1689" s="30"/>
      <c r="H1689" s="31"/>
      <c r="I1689" s="31"/>
      <c r="J1689" s="31"/>
      <c r="K1689" s="31"/>
      <c r="L1689" s="24">
        <f t="shared" si="673"/>
        <v>0</v>
      </c>
      <c r="M1689" s="30"/>
      <c r="N1689" s="30"/>
      <c r="O1689" s="30"/>
      <c r="P1689" s="30"/>
    </row>
    <row r="1690" spans="1:16" s="1" customFormat="1">
      <c r="A1690" s="28"/>
      <c r="B1690" s="32" t="s">
        <v>22</v>
      </c>
      <c r="C1690" s="24">
        <f t="shared" si="672"/>
        <v>0</v>
      </c>
      <c r="D1690" s="30"/>
      <c r="E1690" s="30"/>
      <c r="F1690" s="30"/>
      <c r="G1690" s="30"/>
      <c r="H1690" s="31"/>
      <c r="I1690" s="31"/>
      <c r="J1690" s="31"/>
      <c r="K1690" s="31"/>
      <c r="L1690" s="24">
        <f t="shared" si="673"/>
        <v>0</v>
      </c>
      <c r="M1690" s="30"/>
      <c r="N1690" s="30"/>
      <c r="O1690" s="30"/>
      <c r="P1690" s="30"/>
    </row>
    <row r="1691" spans="1:16" s="1" customFormat="1">
      <c r="A1691" s="28"/>
      <c r="B1691" s="32" t="s">
        <v>23</v>
      </c>
      <c r="C1691" s="24">
        <f t="shared" si="672"/>
        <v>0</v>
      </c>
      <c r="D1691" s="30"/>
      <c r="E1691" s="30"/>
      <c r="F1691" s="30"/>
      <c r="G1691" s="30"/>
      <c r="H1691" s="31"/>
      <c r="I1691" s="31"/>
      <c r="J1691" s="31"/>
      <c r="K1691" s="31"/>
      <c r="L1691" s="24">
        <f t="shared" si="673"/>
        <v>0</v>
      </c>
      <c r="M1691" s="30"/>
      <c r="N1691" s="30"/>
      <c r="O1691" s="30"/>
      <c r="P1691" s="30"/>
    </row>
    <row r="1692" spans="1:16" s="1" customFormat="1">
      <c r="A1692" s="28"/>
      <c r="B1692" s="29" t="s">
        <v>24</v>
      </c>
      <c r="C1692" s="24">
        <f t="shared" si="672"/>
        <v>0</v>
      </c>
      <c r="D1692" s="30"/>
      <c r="E1692" s="30"/>
      <c r="F1692" s="30"/>
      <c r="G1692" s="30"/>
      <c r="H1692" s="31"/>
      <c r="I1692" s="31"/>
      <c r="J1692" s="31"/>
      <c r="K1692" s="31"/>
      <c r="L1692" s="24">
        <f t="shared" si="673"/>
        <v>0</v>
      </c>
      <c r="M1692" s="30"/>
      <c r="N1692" s="30"/>
      <c r="O1692" s="30"/>
      <c r="P1692" s="30"/>
    </row>
    <row r="1693" spans="1:16" s="1" customFormat="1">
      <c r="A1693" s="28"/>
      <c r="B1693" s="34" t="s">
        <v>25</v>
      </c>
      <c r="C1693" s="24">
        <f t="shared" si="672"/>
        <v>0</v>
      </c>
      <c r="D1693" s="30"/>
      <c r="E1693" s="30"/>
      <c r="F1693" s="30"/>
      <c r="G1693" s="30"/>
      <c r="H1693" s="31"/>
      <c r="I1693" s="31"/>
      <c r="J1693" s="31"/>
      <c r="K1693" s="31"/>
      <c r="L1693" s="24">
        <f t="shared" si="673"/>
        <v>0</v>
      </c>
      <c r="M1693" s="30"/>
      <c r="N1693" s="30"/>
      <c r="O1693" s="30"/>
      <c r="P1693" s="30"/>
    </row>
    <row r="1694" spans="1:16" s="1" customFormat="1">
      <c r="A1694" s="28"/>
      <c r="B1694" s="32" t="s">
        <v>26</v>
      </c>
      <c r="C1694" s="24">
        <f t="shared" si="672"/>
        <v>0</v>
      </c>
      <c r="D1694" s="30"/>
      <c r="E1694" s="30"/>
      <c r="F1694" s="30"/>
      <c r="G1694" s="30"/>
      <c r="H1694" s="31"/>
      <c r="I1694" s="31"/>
      <c r="J1694" s="31"/>
      <c r="K1694" s="31"/>
      <c r="L1694" s="24">
        <f t="shared" si="673"/>
        <v>0</v>
      </c>
      <c r="M1694" s="30"/>
      <c r="N1694" s="30"/>
      <c r="O1694" s="30"/>
      <c r="P1694" s="30"/>
    </row>
    <row r="1695" spans="1:16" s="1" customFormat="1" ht="30">
      <c r="A1695" s="28"/>
      <c r="B1695" s="35" t="s">
        <v>27</v>
      </c>
      <c r="C1695" s="36">
        <f t="shared" ref="C1695:G1695" si="674">SUM(C1696:C1699)</f>
        <v>0</v>
      </c>
      <c r="D1695" s="36">
        <f t="shared" si="674"/>
        <v>0</v>
      </c>
      <c r="E1695" s="36">
        <f t="shared" si="674"/>
        <v>0</v>
      </c>
      <c r="F1695" s="36">
        <f t="shared" si="674"/>
        <v>0</v>
      </c>
      <c r="G1695" s="36">
        <f t="shared" si="674"/>
        <v>0</v>
      </c>
      <c r="H1695" s="31"/>
      <c r="I1695" s="31"/>
      <c r="J1695" s="31"/>
      <c r="K1695" s="31"/>
      <c r="L1695" s="36">
        <f t="shared" ref="L1695:P1695" si="675">SUM(L1696:L1699)</f>
        <v>0</v>
      </c>
      <c r="M1695" s="36">
        <f t="shared" si="675"/>
        <v>0</v>
      </c>
      <c r="N1695" s="36">
        <f t="shared" si="675"/>
        <v>0</v>
      </c>
      <c r="O1695" s="36">
        <f t="shared" si="675"/>
        <v>0</v>
      </c>
      <c r="P1695" s="36">
        <f t="shared" si="675"/>
        <v>0</v>
      </c>
    </row>
    <row r="1696" spans="1:16" s="1" customFormat="1">
      <c r="A1696" s="28"/>
      <c r="B1696" s="38" t="s">
        <v>28</v>
      </c>
      <c r="C1696" s="24">
        <f t="shared" ref="C1696:C1706" si="676">E1696+F1696+G1696</f>
        <v>0</v>
      </c>
      <c r="D1696" s="30"/>
      <c r="E1696" s="30"/>
      <c r="F1696" s="30"/>
      <c r="G1696" s="30"/>
      <c r="H1696" s="31"/>
      <c r="I1696" s="31"/>
      <c r="J1696" s="31"/>
      <c r="K1696" s="31"/>
      <c r="L1696" s="24">
        <f t="shared" ref="L1696:L1706" si="677">N1696+O1696+P1696</f>
        <v>0</v>
      </c>
      <c r="M1696" s="30"/>
      <c r="N1696" s="30"/>
      <c r="O1696" s="30"/>
      <c r="P1696" s="30"/>
    </row>
    <row r="1697" spans="1:16" s="1" customFormat="1">
      <c r="A1697" s="28"/>
      <c r="B1697" s="38" t="s">
        <v>29</v>
      </c>
      <c r="C1697" s="24">
        <f t="shared" si="676"/>
        <v>0</v>
      </c>
      <c r="D1697" s="30"/>
      <c r="E1697" s="30"/>
      <c r="F1697" s="30"/>
      <c r="G1697" s="30"/>
      <c r="H1697" s="31"/>
      <c r="I1697" s="31"/>
      <c r="J1697" s="31"/>
      <c r="K1697" s="31"/>
      <c r="L1697" s="24">
        <f t="shared" si="677"/>
        <v>0</v>
      </c>
      <c r="M1697" s="30"/>
      <c r="N1697" s="30"/>
      <c r="O1697" s="30"/>
      <c r="P1697" s="30"/>
    </row>
    <row r="1698" spans="1:16" s="1" customFormat="1">
      <c r="A1698" s="28"/>
      <c r="B1698" s="38" t="s">
        <v>30</v>
      </c>
      <c r="C1698" s="24">
        <f t="shared" si="676"/>
        <v>0</v>
      </c>
      <c r="D1698" s="30"/>
      <c r="E1698" s="30"/>
      <c r="F1698" s="30"/>
      <c r="G1698" s="30"/>
      <c r="H1698" s="31"/>
      <c r="I1698" s="31"/>
      <c r="J1698" s="31"/>
      <c r="K1698" s="31"/>
      <c r="L1698" s="24">
        <f t="shared" si="677"/>
        <v>0</v>
      </c>
      <c r="M1698" s="30"/>
      <c r="N1698" s="30"/>
      <c r="O1698" s="30"/>
      <c r="P1698" s="30"/>
    </row>
    <row r="1699" spans="1:16" s="1" customFormat="1">
      <c r="A1699" s="28"/>
      <c r="B1699" s="38" t="s">
        <v>31</v>
      </c>
      <c r="C1699" s="24">
        <f t="shared" si="676"/>
        <v>0</v>
      </c>
      <c r="D1699" s="30"/>
      <c r="E1699" s="30"/>
      <c r="F1699" s="30"/>
      <c r="G1699" s="30"/>
      <c r="H1699" s="31"/>
      <c r="I1699" s="31"/>
      <c r="J1699" s="31"/>
      <c r="K1699" s="31"/>
      <c r="L1699" s="24">
        <f t="shared" si="677"/>
        <v>0</v>
      </c>
      <c r="M1699" s="30"/>
      <c r="N1699" s="30"/>
      <c r="O1699" s="30"/>
      <c r="P1699" s="30"/>
    </row>
    <row r="1700" spans="1:16" s="1" customFormat="1" ht="30">
      <c r="A1700" s="28"/>
      <c r="B1700" s="39" t="s">
        <v>32</v>
      </c>
      <c r="C1700" s="24">
        <f t="shared" si="676"/>
        <v>0</v>
      </c>
      <c r="D1700" s="30"/>
      <c r="E1700" s="30"/>
      <c r="F1700" s="30"/>
      <c r="G1700" s="30"/>
      <c r="H1700" s="31"/>
      <c r="I1700" s="31"/>
      <c r="J1700" s="31"/>
      <c r="K1700" s="31"/>
      <c r="L1700" s="24">
        <f t="shared" si="677"/>
        <v>0</v>
      </c>
      <c r="M1700" s="30"/>
      <c r="N1700" s="30"/>
      <c r="O1700" s="30"/>
      <c r="P1700" s="30"/>
    </row>
    <row r="1701" spans="1:16" s="1" customFormat="1" ht="30">
      <c r="A1701" s="28"/>
      <c r="B1701" s="39" t="s">
        <v>33</v>
      </c>
      <c r="C1701" s="24">
        <f t="shared" si="676"/>
        <v>0</v>
      </c>
      <c r="D1701" s="30"/>
      <c r="E1701" s="30"/>
      <c r="F1701" s="30"/>
      <c r="G1701" s="30"/>
      <c r="H1701" s="31"/>
      <c r="I1701" s="31"/>
      <c r="J1701" s="31"/>
      <c r="K1701" s="31"/>
      <c r="L1701" s="24">
        <f t="shared" si="677"/>
        <v>0</v>
      </c>
      <c r="M1701" s="30"/>
      <c r="N1701" s="30"/>
      <c r="O1701" s="30"/>
      <c r="P1701" s="30"/>
    </row>
    <row r="1702" spans="1:16" s="1" customFormat="1" ht="30">
      <c r="A1702" s="28"/>
      <c r="B1702" s="40" t="s">
        <v>34</v>
      </c>
      <c r="C1702" s="24">
        <f t="shared" si="676"/>
        <v>0</v>
      </c>
      <c r="D1702" s="30"/>
      <c r="E1702" s="30"/>
      <c r="F1702" s="30"/>
      <c r="G1702" s="30"/>
      <c r="H1702" s="31"/>
      <c r="I1702" s="31"/>
      <c r="J1702" s="31"/>
      <c r="K1702" s="31"/>
      <c r="L1702" s="24">
        <f t="shared" si="677"/>
        <v>0</v>
      </c>
      <c r="M1702" s="30"/>
      <c r="N1702" s="30"/>
      <c r="O1702" s="30"/>
      <c r="P1702" s="30"/>
    </row>
    <row r="1703" spans="1:16" s="1" customFormat="1">
      <c r="A1703" s="28"/>
      <c r="B1703" s="40" t="s">
        <v>35</v>
      </c>
      <c r="C1703" s="24">
        <f t="shared" si="676"/>
        <v>0</v>
      </c>
      <c r="D1703" s="30"/>
      <c r="E1703" s="30"/>
      <c r="F1703" s="30"/>
      <c r="G1703" s="30"/>
      <c r="H1703" s="31"/>
      <c r="I1703" s="31"/>
      <c r="J1703" s="31"/>
      <c r="K1703" s="31"/>
      <c r="L1703" s="24">
        <f t="shared" si="677"/>
        <v>0</v>
      </c>
      <c r="M1703" s="30"/>
      <c r="N1703" s="30"/>
      <c r="O1703" s="30"/>
      <c r="P1703" s="30"/>
    </row>
    <row r="1704" spans="1:16" s="1" customFormat="1" ht="30">
      <c r="A1704" s="28"/>
      <c r="B1704" s="41" t="s">
        <v>36</v>
      </c>
      <c r="C1704" s="24">
        <f t="shared" si="676"/>
        <v>0</v>
      </c>
      <c r="D1704" s="30"/>
      <c r="E1704" s="30"/>
      <c r="F1704" s="30"/>
      <c r="G1704" s="30"/>
      <c r="H1704" s="31"/>
      <c r="I1704" s="31"/>
      <c r="J1704" s="31"/>
      <c r="K1704" s="31"/>
      <c r="L1704" s="24">
        <f t="shared" si="677"/>
        <v>0</v>
      </c>
      <c r="M1704" s="30"/>
      <c r="N1704" s="30"/>
      <c r="O1704" s="30"/>
      <c r="P1704" s="30"/>
    </row>
    <row r="1705" spans="1:16" s="1" customFormat="1">
      <c r="A1705" s="28"/>
      <c r="B1705" s="42" t="s">
        <v>37</v>
      </c>
      <c r="C1705" s="24">
        <f t="shared" si="676"/>
        <v>0</v>
      </c>
      <c r="D1705" s="30"/>
      <c r="E1705" s="30"/>
      <c r="F1705" s="30"/>
      <c r="G1705" s="30"/>
      <c r="H1705" s="31"/>
      <c r="I1705" s="31"/>
      <c r="J1705" s="31"/>
      <c r="K1705" s="31"/>
      <c r="L1705" s="24">
        <f t="shared" si="677"/>
        <v>0</v>
      </c>
      <c r="M1705" s="30"/>
      <c r="N1705" s="30"/>
      <c r="O1705" s="30"/>
      <c r="P1705" s="30"/>
    </row>
    <row r="1706" spans="1:16" s="1" customFormat="1" ht="30">
      <c r="A1706" s="28"/>
      <c r="B1706" s="42" t="s">
        <v>38</v>
      </c>
      <c r="C1706" s="24">
        <f t="shared" si="676"/>
        <v>0</v>
      </c>
      <c r="D1706" s="30"/>
      <c r="E1706" s="30"/>
      <c r="F1706" s="30"/>
      <c r="G1706" s="30"/>
      <c r="H1706" s="31"/>
      <c r="I1706" s="31"/>
      <c r="J1706" s="31"/>
      <c r="K1706" s="31"/>
      <c r="L1706" s="24">
        <f t="shared" si="677"/>
        <v>0</v>
      </c>
      <c r="M1706" s="30"/>
      <c r="N1706" s="30"/>
      <c r="O1706" s="30"/>
      <c r="P1706" s="30"/>
    </row>
    <row r="1707" spans="1:16" s="1" customFormat="1" ht="30">
      <c r="A1707" s="28"/>
      <c r="B1707" s="43" t="s">
        <v>39</v>
      </c>
      <c r="C1707" s="36">
        <f t="shared" ref="C1707:G1707" si="678">SUM(C1708:C1714)</f>
        <v>0</v>
      </c>
      <c r="D1707" s="36">
        <f t="shared" si="678"/>
        <v>0</v>
      </c>
      <c r="E1707" s="36">
        <f t="shared" si="678"/>
        <v>0</v>
      </c>
      <c r="F1707" s="36">
        <f t="shared" si="678"/>
        <v>0</v>
      </c>
      <c r="G1707" s="36">
        <f t="shared" si="678"/>
        <v>0</v>
      </c>
      <c r="H1707" s="31"/>
      <c r="I1707" s="31"/>
      <c r="J1707" s="31"/>
      <c r="K1707" s="31"/>
      <c r="L1707" s="36">
        <f t="shared" ref="L1707:P1707" si="679">SUM(L1708:L1714)</f>
        <v>0</v>
      </c>
      <c r="M1707" s="36">
        <f t="shared" si="679"/>
        <v>0</v>
      </c>
      <c r="N1707" s="36">
        <f t="shared" si="679"/>
        <v>0</v>
      </c>
      <c r="O1707" s="36">
        <f t="shared" si="679"/>
        <v>0</v>
      </c>
      <c r="P1707" s="36">
        <f t="shared" si="679"/>
        <v>0</v>
      </c>
    </row>
    <row r="1708" spans="1:16" s="1" customFormat="1" ht="30">
      <c r="A1708" s="28" t="s">
        <v>40</v>
      </c>
      <c r="B1708" s="39" t="s">
        <v>41</v>
      </c>
      <c r="C1708" s="24">
        <f t="shared" ref="C1708:C1714" si="680">E1708+F1708+G1708</f>
        <v>0</v>
      </c>
      <c r="D1708" s="30"/>
      <c r="E1708" s="30"/>
      <c r="F1708" s="30"/>
      <c r="G1708" s="30"/>
      <c r="H1708" s="31"/>
      <c r="I1708" s="31"/>
      <c r="J1708" s="31"/>
      <c r="K1708" s="31"/>
      <c r="L1708" s="24">
        <f t="shared" ref="L1708:L1714" si="681">N1708+O1708+P1708</f>
        <v>0</v>
      </c>
      <c r="M1708" s="30"/>
      <c r="N1708" s="30"/>
      <c r="O1708" s="30"/>
      <c r="P1708" s="30"/>
    </row>
    <row r="1709" spans="1:16" s="1" customFormat="1">
      <c r="A1709" s="28"/>
      <c r="B1709" s="39" t="s">
        <v>42</v>
      </c>
      <c r="C1709" s="24">
        <f t="shared" si="680"/>
        <v>0</v>
      </c>
      <c r="D1709" s="30"/>
      <c r="E1709" s="30"/>
      <c r="F1709" s="30"/>
      <c r="G1709" s="30"/>
      <c r="H1709" s="31"/>
      <c r="I1709" s="31"/>
      <c r="J1709" s="31"/>
      <c r="K1709" s="31"/>
      <c r="L1709" s="24">
        <f t="shared" si="681"/>
        <v>0</v>
      </c>
      <c r="M1709" s="30"/>
      <c r="N1709" s="30"/>
      <c r="O1709" s="30"/>
      <c r="P1709" s="30"/>
    </row>
    <row r="1710" spans="1:16" s="1" customFormat="1">
      <c r="A1710" s="28"/>
      <c r="B1710" s="39" t="s">
        <v>43</v>
      </c>
      <c r="C1710" s="24">
        <f t="shared" si="680"/>
        <v>0</v>
      </c>
      <c r="D1710" s="30"/>
      <c r="E1710" s="30"/>
      <c r="F1710" s="30"/>
      <c r="G1710" s="30"/>
      <c r="H1710" s="31"/>
      <c r="I1710" s="31"/>
      <c r="J1710" s="31"/>
      <c r="K1710" s="31"/>
      <c r="L1710" s="24">
        <f t="shared" si="681"/>
        <v>0</v>
      </c>
      <c r="M1710" s="30"/>
      <c r="N1710" s="30"/>
      <c r="O1710" s="30"/>
      <c r="P1710" s="30"/>
    </row>
    <row r="1711" spans="1:16" s="1" customFormat="1">
      <c r="A1711" s="28"/>
      <c r="B1711" s="39" t="s">
        <v>44</v>
      </c>
      <c r="C1711" s="24">
        <f t="shared" si="680"/>
        <v>0</v>
      </c>
      <c r="D1711" s="30"/>
      <c r="E1711" s="30"/>
      <c r="F1711" s="30"/>
      <c r="G1711" s="30"/>
      <c r="H1711" s="31"/>
      <c r="I1711" s="31"/>
      <c r="J1711" s="31"/>
      <c r="K1711" s="31"/>
      <c r="L1711" s="24">
        <f t="shared" si="681"/>
        <v>0</v>
      </c>
      <c r="M1711" s="30"/>
      <c r="N1711" s="30"/>
      <c r="O1711" s="30"/>
      <c r="P1711" s="30"/>
    </row>
    <row r="1712" spans="1:16" s="1" customFormat="1">
      <c r="A1712" s="28"/>
      <c r="B1712" s="39" t="s">
        <v>45</v>
      </c>
      <c r="C1712" s="24">
        <f t="shared" si="680"/>
        <v>0</v>
      </c>
      <c r="D1712" s="30"/>
      <c r="E1712" s="30"/>
      <c r="F1712" s="30"/>
      <c r="G1712" s="30"/>
      <c r="H1712" s="31"/>
      <c r="I1712" s="31"/>
      <c r="J1712" s="31"/>
      <c r="K1712" s="31"/>
      <c r="L1712" s="24">
        <f t="shared" si="681"/>
        <v>0</v>
      </c>
      <c r="M1712" s="30"/>
      <c r="N1712" s="30"/>
      <c r="O1712" s="30"/>
      <c r="P1712" s="30"/>
    </row>
    <row r="1713" spans="1:16" s="1" customFormat="1" ht="30">
      <c r="A1713" s="28"/>
      <c r="B1713" s="39" t="s">
        <v>46</v>
      </c>
      <c r="C1713" s="24">
        <f t="shared" si="680"/>
        <v>0</v>
      </c>
      <c r="D1713" s="30"/>
      <c r="E1713" s="30"/>
      <c r="F1713" s="30"/>
      <c r="G1713" s="30"/>
      <c r="H1713" s="31"/>
      <c r="I1713" s="31"/>
      <c r="J1713" s="31"/>
      <c r="K1713" s="31"/>
      <c r="L1713" s="24">
        <f t="shared" si="681"/>
        <v>0</v>
      </c>
      <c r="M1713" s="30"/>
      <c r="N1713" s="30"/>
      <c r="O1713" s="30"/>
      <c r="P1713" s="30"/>
    </row>
    <row r="1714" spans="1:16" s="1" customFormat="1">
      <c r="A1714" s="28"/>
      <c r="B1714" s="39" t="s">
        <v>47</v>
      </c>
      <c r="C1714" s="24">
        <f t="shared" si="680"/>
        <v>0</v>
      </c>
      <c r="D1714" s="30"/>
      <c r="E1714" s="30"/>
      <c r="F1714" s="30"/>
      <c r="G1714" s="30"/>
      <c r="H1714" s="31"/>
      <c r="I1714" s="31"/>
      <c r="J1714" s="31"/>
      <c r="K1714" s="31"/>
      <c r="L1714" s="24">
        <f t="shared" si="681"/>
        <v>0</v>
      </c>
      <c r="M1714" s="30"/>
      <c r="N1714" s="30"/>
      <c r="O1714" s="30"/>
      <c r="P1714" s="30"/>
    </row>
    <row r="1715" spans="1:16" s="1" customFormat="1" ht="36.75" customHeight="1">
      <c r="A1715" s="211" t="s">
        <v>3</v>
      </c>
      <c r="B1715" s="213" t="s">
        <v>4</v>
      </c>
      <c r="C1715" s="213" t="s">
        <v>5</v>
      </c>
      <c r="D1715" s="10" t="s">
        <v>6</v>
      </c>
      <c r="E1715" s="215" t="s">
        <v>7</v>
      </c>
      <c r="F1715" s="216"/>
      <c r="G1715" s="217"/>
      <c r="H1715" s="218" t="s">
        <v>8</v>
      </c>
      <c r="I1715" s="218"/>
      <c r="J1715" s="218"/>
      <c r="K1715" s="11"/>
      <c r="L1715" s="219" t="s">
        <v>9</v>
      </c>
      <c r="M1715" s="12" t="s">
        <v>6</v>
      </c>
      <c r="N1715" s="208" t="s">
        <v>10</v>
      </c>
      <c r="O1715" s="209"/>
      <c r="P1715" s="210"/>
    </row>
    <row r="1716" spans="1:16" s="1" customFormat="1" ht="47.25" customHeight="1">
      <c r="A1716" s="212"/>
      <c r="B1716" s="214"/>
      <c r="C1716" s="214"/>
      <c r="D1716" s="13" t="s">
        <v>11</v>
      </c>
      <c r="E1716" s="13" t="s">
        <v>12</v>
      </c>
      <c r="F1716" s="13" t="s">
        <v>13</v>
      </c>
      <c r="G1716" s="13" t="s">
        <v>14</v>
      </c>
      <c r="H1716" s="14" t="s">
        <v>15</v>
      </c>
      <c r="I1716" s="14" t="s">
        <v>16</v>
      </c>
      <c r="J1716" s="14" t="s">
        <v>17</v>
      </c>
      <c r="K1716" s="14" t="s">
        <v>18</v>
      </c>
      <c r="L1716" s="220"/>
      <c r="M1716" s="15" t="s">
        <v>11</v>
      </c>
      <c r="N1716" s="15" t="s">
        <v>12</v>
      </c>
      <c r="O1716" s="15" t="s">
        <v>13</v>
      </c>
      <c r="P1716" s="15" t="s">
        <v>14</v>
      </c>
    </row>
    <row r="1717" spans="1:16" s="1" customFormat="1" ht="45">
      <c r="A1717" s="118"/>
      <c r="B1717" s="17" t="s">
        <v>102</v>
      </c>
      <c r="C1717" s="119">
        <f t="shared" ref="C1717:G1717" si="682">C1718+C1719+C1720+C1721+C1722+C1723+C1724+C1725+C1730+C1731+C1732+C1733+C1734+C1735+C1736+C1737</f>
        <v>1409015.6400000001</v>
      </c>
      <c r="D1717" s="119">
        <f t="shared" si="682"/>
        <v>1143581.4800000002</v>
      </c>
      <c r="E1717" s="119">
        <f t="shared" si="682"/>
        <v>1367245.6400000001</v>
      </c>
      <c r="F1717" s="119">
        <f t="shared" si="682"/>
        <v>41770</v>
      </c>
      <c r="G1717" s="119">
        <f t="shared" si="682"/>
        <v>0</v>
      </c>
      <c r="H1717" s="116">
        <f>H1537+H1567+H1597+H1627+H1657+H1687</f>
        <v>0</v>
      </c>
      <c r="I1717" s="116">
        <f>I1537+I1567+I1597+I1627+I1657+I1687</f>
        <v>0</v>
      </c>
      <c r="J1717" s="116">
        <f>J1537+J1567+J1597+J1627+J1657+J1687</f>
        <v>0</v>
      </c>
      <c r="K1717" s="116">
        <f>K1537+K1567+K1597+K1627+K1657+K1687</f>
        <v>0</v>
      </c>
      <c r="L1717" s="119">
        <f t="shared" ref="L1717:P1717" si="683">L1718+L1719+L1720+L1721+L1722+L1723+L1724+L1725+L1730+L1731+L1732+L1733+L1734+L1735+L1736+L1737</f>
        <v>0</v>
      </c>
      <c r="M1717" s="119">
        <f t="shared" si="683"/>
        <v>1143581.4800000002</v>
      </c>
      <c r="N1717" s="119">
        <f t="shared" si="683"/>
        <v>0</v>
      </c>
      <c r="O1717" s="119">
        <f t="shared" si="683"/>
        <v>0</v>
      </c>
      <c r="P1717" s="119">
        <f t="shared" si="683"/>
        <v>0</v>
      </c>
    </row>
    <row r="1718" spans="1:16" s="1" customFormat="1">
      <c r="A1718" s="109"/>
      <c r="B1718" s="120" t="s">
        <v>20</v>
      </c>
      <c r="C1718" s="116">
        <f t="shared" ref="C1718:G1724" si="684">C1538+C1568+C1598+C1628+C1658+C1688</f>
        <v>0</v>
      </c>
      <c r="D1718" s="116">
        <f t="shared" si="684"/>
        <v>0</v>
      </c>
      <c r="E1718" s="116">
        <f t="shared" si="684"/>
        <v>0</v>
      </c>
      <c r="F1718" s="116">
        <f t="shared" si="684"/>
        <v>0</v>
      </c>
      <c r="G1718" s="116">
        <f t="shared" si="684"/>
        <v>0</v>
      </c>
      <c r="H1718" s="24"/>
      <c r="I1718" s="24"/>
      <c r="J1718" s="24"/>
      <c r="K1718" s="24"/>
      <c r="L1718" s="116">
        <f t="shared" ref="L1718:P1724" si="685">L1538+L1568+L1598+L1628+L1658+L1688</f>
        <v>0</v>
      </c>
      <c r="M1718" s="116">
        <f t="shared" si="685"/>
        <v>0</v>
      </c>
      <c r="N1718" s="116">
        <f t="shared" si="685"/>
        <v>0</v>
      </c>
      <c r="O1718" s="116">
        <f t="shared" si="685"/>
        <v>0</v>
      </c>
      <c r="P1718" s="116">
        <f t="shared" si="685"/>
        <v>0</v>
      </c>
    </row>
    <row r="1719" spans="1:16" s="1" customFormat="1">
      <c r="A1719" s="121"/>
      <c r="B1719" s="122" t="s">
        <v>21</v>
      </c>
      <c r="C1719" s="116">
        <f t="shared" si="684"/>
        <v>381858.59</v>
      </c>
      <c r="D1719" s="116">
        <f t="shared" si="684"/>
        <v>0</v>
      </c>
      <c r="E1719" s="116">
        <f t="shared" si="684"/>
        <v>381858.59</v>
      </c>
      <c r="F1719" s="116">
        <f t="shared" si="684"/>
        <v>0</v>
      </c>
      <c r="G1719" s="116">
        <f t="shared" si="684"/>
        <v>0</v>
      </c>
      <c r="H1719" s="27"/>
      <c r="I1719" s="27"/>
      <c r="J1719" s="27"/>
      <c r="K1719" s="27"/>
      <c r="L1719" s="116">
        <f t="shared" si="685"/>
        <v>0</v>
      </c>
      <c r="M1719" s="116">
        <f t="shared" si="685"/>
        <v>0</v>
      </c>
      <c r="N1719" s="116">
        <f t="shared" si="685"/>
        <v>0</v>
      </c>
      <c r="O1719" s="116">
        <f t="shared" si="685"/>
        <v>0</v>
      </c>
      <c r="P1719" s="116">
        <f t="shared" si="685"/>
        <v>0</v>
      </c>
    </row>
    <row r="1720" spans="1:16" s="1" customFormat="1">
      <c r="A1720" s="121"/>
      <c r="B1720" s="122" t="s">
        <v>22</v>
      </c>
      <c r="C1720" s="116">
        <f t="shared" si="684"/>
        <v>0</v>
      </c>
      <c r="D1720" s="116">
        <f t="shared" si="684"/>
        <v>0</v>
      </c>
      <c r="E1720" s="116">
        <f t="shared" si="684"/>
        <v>0</v>
      </c>
      <c r="F1720" s="116">
        <f t="shared" si="684"/>
        <v>0</v>
      </c>
      <c r="G1720" s="116">
        <f t="shared" si="684"/>
        <v>0</v>
      </c>
      <c r="H1720" s="31"/>
      <c r="I1720" s="31"/>
      <c r="J1720" s="31"/>
      <c r="K1720" s="31"/>
      <c r="L1720" s="116">
        <f t="shared" si="685"/>
        <v>0</v>
      </c>
      <c r="M1720" s="116">
        <f t="shared" si="685"/>
        <v>0</v>
      </c>
      <c r="N1720" s="116">
        <f t="shared" si="685"/>
        <v>0</v>
      </c>
      <c r="O1720" s="116">
        <f t="shared" si="685"/>
        <v>0</v>
      </c>
      <c r="P1720" s="116">
        <f t="shared" si="685"/>
        <v>0</v>
      </c>
    </row>
    <row r="1721" spans="1:16" s="1" customFormat="1">
      <c r="A1721" s="121"/>
      <c r="B1721" s="122" t="s">
        <v>23</v>
      </c>
      <c r="C1721" s="116">
        <f t="shared" si="684"/>
        <v>0</v>
      </c>
      <c r="D1721" s="116">
        <f t="shared" si="684"/>
        <v>431112.79000000004</v>
      </c>
      <c r="E1721" s="116">
        <f t="shared" si="684"/>
        <v>0</v>
      </c>
      <c r="F1721" s="116">
        <f t="shared" si="684"/>
        <v>0</v>
      </c>
      <c r="G1721" s="116">
        <f t="shared" si="684"/>
        <v>0</v>
      </c>
      <c r="H1721" s="31"/>
      <c r="I1721" s="31"/>
      <c r="J1721" s="31"/>
      <c r="K1721" s="31"/>
      <c r="L1721" s="116">
        <f t="shared" si="685"/>
        <v>0</v>
      </c>
      <c r="M1721" s="116">
        <f t="shared" si="685"/>
        <v>431112.79000000004</v>
      </c>
      <c r="N1721" s="116">
        <f t="shared" si="685"/>
        <v>0</v>
      </c>
      <c r="O1721" s="116">
        <f t="shared" si="685"/>
        <v>0</v>
      </c>
      <c r="P1721" s="116">
        <f t="shared" si="685"/>
        <v>0</v>
      </c>
    </row>
    <row r="1722" spans="1:16" s="1" customFormat="1">
      <c r="A1722" s="121"/>
      <c r="B1722" s="122" t="s">
        <v>24</v>
      </c>
      <c r="C1722" s="116">
        <f t="shared" si="684"/>
        <v>415648.28</v>
      </c>
      <c r="D1722" s="116">
        <f t="shared" si="684"/>
        <v>260478.07</v>
      </c>
      <c r="E1722" s="116">
        <f t="shared" si="684"/>
        <v>373878.28</v>
      </c>
      <c r="F1722" s="116">
        <f t="shared" si="684"/>
        <v>41770</v>
      </c>
      <c r="G1722" s="116">
        <f t="shared" si="684"/>
        <v>0</v>
      </c>
      <c r="H1722" s="31"/>
      <c r="I1722" s="31"/>
      <c r="J1722" s="31"/>
      <c r="K1722" s="31"/>
      <c r="L1722" s="116">
        <f t="shared" si="685"/>
        <v>0</v>
      </c>
      <c r="M1722" s="116">
        <f t="shared" si="685"/>
        <v>260478.07</v>
      </c>
      <c r="N1722" s="116">
        <f t="shared" si="685"/>
        <v>0</v>
      </c>
      <c r="O1722" s="116">
        <f t="shared" si="685"/>
        <v>0</v>
      </c>
      <c r="P1722" s="116">
        <f t="shared" si="685"/>
        <v>0</v>
      </c>
    </row>
    <row r="1723" spans="1:16" s="1" customFormat="1">
      <c r="A1723" s="121"/>
      <c r="B1723" s="123" t="s">
        <v>25</v>
      </c>
      <c r="C1723" s="116">
        <f t="shared" si="684"/>
        <v>25144.65</v>
      </c>
      <c r="D1723" s="116">
        <f t="shared" si="684"/>
        <v>10505.76</v>
      </c>
      <c r="E1723" s="116">
        <f t="shared" si="684"/>
        <v>25144.65</v>
      </c>
      <c r="F1723" s="116">
        <f t="shared" si="684"/>
        <v>0</v>
      </c>
      <c r="G1723" s="116">
        <f t="shared" si="684"/>
        <v>0</v>
      </c>
      <c r="H1723" s="31"/>
      <c r="I1723" s="31"/>
      <c r="J1723" s="31"/>
      <c r="K1723" s="31"/>
      <c r="L1723" s="116">
        <f t="shared" si="685"/>
        <v>0</v>
      </c>
      <c r="M1723" s="116">
        <f t="shared" si="685"/>
        <v>10505.76</v>
      </c>
      <c r="N1723" s="116">
        <f t="shared" si="685"/>
        <v>0</v>
      </c>
      <c r="O1723" s="116">
        <f t="shared" si="685"/>
        <v>0</v>
      </c>
      <c r="P1723" s="116">
        <f t="shared" si="685"/>
        <v>0</v>
      </c>
    </row>
    <row r="1724" spans="1:16" s="1" customFormat="1">
      <c r="A1724" s="121"/>
      <c r="B1724" s="122" t="s">
        <v>26</v>
      </c>
      <c r="C1724" s="116">
        <f t="shared" si="684"/>
        <v>0</v>
      </c>
      <c r="D1724" s="116">
        <f t="shared" si="684"/>
        <v>0</v>
      </c>
      <c r="E1724" s="116">
        <f t="shared" si="684"/>
        <v>0</v>
      </c>
      <c r="F1724" s="116">
        <f t="shared" si="684"/>
        <v>0</v>
      </c>
      <c r="G1724" s="116">
        <f t="shared" si="684"/>
        <v>0</v>
      </c>
      <c r="H1724" s="31"/>
      <c r="I1724" s="31"/>
      <c r="J1724" s="31"/>
      <c r="K1724" s="31"/>
      <c r="L1724" s="116">
        <f t="shared" si="685"/>
        <v>0</v>
      </c>
      <c r="M1724" s="116">
        <f t="shared" si="685"/>
        <v>0</v>
      </c>
      <c r="N1724" s="116">
        <f t="shared" si="685"/>
        <v>0</v>
      </c>
      <c r="O1724" s="116">
        <f t="shared" si="685"/>
        <v>0</v>
      </c>
      <c r="P1724" s="116">
        <f t="shared" si="685"/>
        <v>0</v>
      </c>
    </row>
    <row r="1725" spans="1:16" s="1" customFormat="1" ht="30">
      <c r="A1725" s="121"/>
      <c r="B1725" s="124" t="s">
        <v>27</v>
      </c>
      <c r="C1725" s="125">
        <f t="shared" ref="C1725:G1725" si="686">SUM(C1726:C1729)</f>
        <v>232787.5</v>
      </c>
      <c r="D1725" s="125">
        <f t="shared" si="686"/>
        <v>319443.25999999995</v>
      </c>
      <c r="E1725" s="125">
        <f t="shared" si="686"/>
        <v>232787.5</v>
      </c>
      <c r="F1725" s="125">
        <f t="shared" si="686"/>
        <v>0</v>
      </c>
      <c r="G1725" s="125">
        <f t="shared" si="686"/>
        <v>0</v>
      </c>
      <c r="H1725" s="31"/>
      <c r="I1725" s="31"/>
      <c r="J1725" s="31"/>
      <c r="K1725" s="31"/>
      <c r="L1725" s="125">
        <f t="shared" ref="L1725:P1725" si="687">SUM(L1726:L1729)</f>
        <v>0</v>
      </c>
      <c r="M1725" s="125">
        <f t="shared" si="687"/>
        <v>319443.25999999995</v>
      </c>
      <c r="N1725" s="125">
        <f t="shared" si="687"/>
        <v>0</v>
      </c>
      <c r="O1725" s="125">
        <f t="shared" si="687"/>
        <v>0</v>
      </c>
      <c r="P1725" s="125">
        <f t="shared" si="687"/>
        <v>0</v>
      </c>
    </row>
    <row r="1726" spans="1:16" s="1" customFormat="1">
      <c r="A1726" s="121"/>
      <c r="B1726" s="126" t="s">
        <v>28</v>
      </c>
      <c r="C1726" s="116">
        <f t="shared" ref="C1726:G1736" si="688">C1546+C1576+C1606+C1636+C1666+C1696</f>
        <v>201933.57</v>
      </c>
      <c r="D1726" s="116">
        <f t="shared" si="688"/>
        <v>111675.06</v>
      </c>
      <c r="E1726" s="116">
        <f t="shared" si="688"/>
        <v>201933.57</v>
      </c>
      <c r="F1726" s="116">
        <f t="shared" si="688"/>
        <v>0</v>
      </c>
      <c r="G1726" s="116">
        <f t="shared" si="688"/>
        <v>0</v>
      </c>
      <c r="H1726" s="31"/>
      <c r="I1726" s="31"/>
      <c r="J1726" s="31"/>
      <c r="K1726" s="31"/>
      <c r="L1726" s="116">
        <f t="shared" ref="L1726:P1736" si="689">L1546+L1576+L1606+L1636+L1666+L1696</f>
        <v>0</v>
      </c>
      <c r="M1726" s="116">
        <f t="shared" si="689"/>
        <v>111675.06</v>
      </c>
      <c r="N1726" s="116">
        <f t="shared" si="689"/>
        <v>0</v>
      </c>
      <c r="O1726" s="116">
        <f t="shared" si="689"/>
        <v>0</v>
      </c>
      <c r="P1726" s="116">
        <f t="shared" si="689"/>
        <v>0</v>
      </c>
    </row>
    <row r="1727" spans="1:16" s="1" customFormat="1">
      <c r="A1727" s="121"/>
      <c r="B1727" s="126" t="s">
        <v>29</v>
      </c>
      <c r="C1727" s="116">
        <f t="shared" si="688"/>
        <v>23602.23</v>
      </c>
      <c r="D1727" s="116">
        <f t="shared" si="688"/>
        <v>203236.91</v>
      </c>
      <c r="E1727" s="116">
        <f t="shared" si="688"/>
        <v>23602.23</v>
      </c>
      <c r="F1727" s="116">
        <f t="shared" si="688"/>
        <v>0</v>
      </c>
      <c r="G1727" s="116">
        <f t="shared" si="688"/>
        <v>0</v>
      </c>
      <c r="H1727" s="31"/>
      <c r="I1727" s="31"/>
      <c r="J1727" s="31"/>
      <c r="K1727" s="31"/>
      <c r="L1727" s="116">
        <f t="shared" si="689"/>
        <v>0</v>
      </c>
      <c r="M1727" s="116">
        <f t="shared" si="689"/>
        <v>203236.91</v>
      </c>
      <c r="N1727" s="116">
        <f t="shared" si="689"/>
        <v>0</v>
      </c>
      <c r="O1727" s="116">
        <f t="shared" si="689"/>
        <v>0</v>
      </c>
      <c r="P1727" s="116">
        <f t="shared" si="689"/>
        <v>0</v>
      </c>
    </row>
    <row r="1728" spans="1:16" s="1" customFormat="1">
      <c r="A1728" s="121"/>
      <c r="B1728" s="126" t="s">
        <v>30</v>
      </c>
      <c r="C1728" s="116">
        <f t="shared" si="688"/>
        <v>6828.52</v>
      </c>
      <c r="D1728" s="116">
        <f t="shared" si="688"/>
        <v>4531.29</v>
      </c>
      <c r="E1728" s="116">
        <f t="shared" si="688"/>
        <v>6828.52</v>
      </c>
      <c r="F1728" s="116">
        <f t="shared" si="688"/>
        <v>0</v>
      </c>
      <c r="G1728" s="116">
        <f t="shared" si="688"/>
        <v>0</v>
      </c>
      <c r="H1728" s="31"/>
      <c r="I1728" s="31"/>
      <c r="J1728" s="31"/>
      <c r="K1728" s="31"/>
      <c r="L1728" s="116">
        <f t="shared" si="689"/>
        <v>0</v>
      </c>
      <c r="M1728" s="116">
        <f t="shared" si="689"/>
        <v>4531.29</v>
      </c>
      <c r="N1728" s="116">
        <f t="shared" si="689"/>
        <v>0</v>
      </c>
      <c r="O1728" s="116">
        <f t="shared" si="689"/>
        <v>0</v>
      </c>
      <c r="P1728" s="116">
        <f t="shared" si="689"/>
        <v>0</v>
      </c>
    </row>
    <row r="1729" spans="1:16" s="1" customFormat="1">
      <c r="A1729" s="121"/>
      <c r="B1729" s="126" t="s">
        <v>31</v>
      </c>
      <c r="C1729" s="116">
        <f t="shared" si="688"/>
        <v>423.18</v>
      </c>
      <c r="D1729" s="116">
        <f t="shared" si="688"/>
        <v>0</v>
      </c>
      <c r="E1729" s="116">
        <f t="shared" si="688"/>
        <v>423.18</v>
      </c>
      <c r="F1729" s="116">
        <f t="shared" si="688"/>
        <v>0</v>
      </c>
      <c r="G1729" s="116">
        <f t="shared" si="688"/>
        <v>0</v>
      </c>
      <c r="H1729" s="31"/>
      <c r="I1729" s="31"/>
      <c r="J1729" s="31"/>
      <c r="K1729" s="31"/>
      <c r="L1729" s="116">
        <f t="shared" si="689"/>
        <v>0</v>
      </c>
      <c r="M1729" s="116">
        <f t="shared" si="689"/>
        <v>0</v>
      </c>
      <c r="N1729" s="116">
        <f t="shared" si="689"/>
        <v>0</v>
      </c>
      <c r="O1729" s="116">
        <f t="shared" si="689"/>
        <v>0</v>
      </c>
      <c r="P1729" s="116">
        <f t="shared" si="689"/>
        <v>0</v>
      </c>
    </row>
    <row r="1730" spans="1:16" s="1" customFormat="1" ht="30">
      <c r="A1730" s="121"/>
      <c r="B1730" s="127" t="s">
        <v>32</v>
      </c>
      <c r="C1730" s="116">
        <f t="shared" si="688"/>
        <v>0</v>
      </c>
      <c r="D1730" s="116">
        <f t="shared" si="688"/>
        <v>0</v>
      </c>
      <c r="E1730" s="116">
        <f t="shared" si="688"/>
        <v>0</v>
      </c>
      <c r="F1730" s="116">
        <f t="shared" si="688"/>
        <v>0</v>
      </c>
      <c r="G1730" s="116">
        <f t="shared" si="688"/>
        <v>0</v>
      </c>
      <c r="H1730" s="31"/>
      <c r="I1730" s="31"/>
      <c r="J1730" s="31"/>
      <c r="K1730" s="31"/>
      <c r="L1730" s="116">
        <f t="shared" si="689"/>
        <v>0</v>
      </c>
      <c r="M1730" s="116">
        <f t="shared" si="689"/>
        <v>0</v>
      </c>
      <c r="N1730" s="116">
        <f t="shared" si="689"/>
        <v>0</v>
      </c>
      <c r="O1730" s="116">
        <f t="shared" si="689"/>
        <v>0</v>
      </c>
      <c r="P1730" s="116">
        <f t="shared" si="689"/>
        <v>0</v>
      </c>
    </row>
    <row r="1731" spans="1:16" s="1" customFormat="1" ht="30">
      <c r="A1731" s="121"/>
      <c r="B1731" s="127" t="s">
        <v>33</v>
      </c>
      <c r="C1731" s="116">
        <f t="shared" si="688"/>
        <v>12656.369999999999</v>
      </c>
      <c r="D1731" s="116">
        <f t="shared" si="688"/>
        <v>265.04000000000002</v>
      </c>
      <c r="E1731" s="116">
        <f t="shared" si="688"/>
        <v>12656.369999999999</v>
      </c>
      <c r="F1731" s="116">
        <f t="shared" si="688"/>
        <v>0</v>
      </c>
      <c r="G1731" s="116">
        <f t="shared" si="688"/>
        <v>0</v>
      </c>
      <c r="H1731" s="31"/>
      <c r="I1731" s="31"/>
      <c r="J1731" s="31"/>
      <c r="K1731" s="31"/>
      <c r="L1731" s="116">
        <f t="shared" si="689"/>
        <v>0</v>
      </c>
      <c r="M1731" s="116">
        <f t="shared" si="689"/>
        <v>265.04000000000002</v>
      </c>
      <c r="N1731" s="116">
        <f t="shared" si="689"/>
        <v>0</v>
      </c>
      <c r="O1731" s="116">
        <f t="shared" si="689"/>
        <v>0</v>
      </c>
      <c r="P1731" s="116">
        <f t="shared" si="689"/>
        <v>0</v>
      </c>
    </row>
    <row r="1732" spans="1:16" s="1" customFormat="1" ht="30">
      <c r="A1732" s="121"/>
      <c r="B1732" s="128" t="s">
        <v>34</v>
      </c>
      <c r="C1732" s="116">
        <f t="shared" si="688"/>
        <v>0</v>
      </c>
      <c r="D1732" s="116">
        <f t="shared" si="688"/>
        <v>0</v>
      </c>
      <c r="E1732" s="116">
        <f t="shared" si="688"/>
        <v>0</v>
      </c>
      <c r="F1732" s="116">
        <f t="shared" si="688"/>
        <v>0</v>
      </c>
      <c r="G1732" s="116">
        <f t="shared" si="688"/>
        <v>0</v>
      </c>
      <c r="H1732" s="31"/>
      <c r="I1732" s="31"/>
      <c r="J1732" s="31"/>
      <c r="K1732" s="31"/>
      <c r="L1732" s="116">
        <f t="shared" si="689"/>
        <v>0</v>
      </c>
      <c r="M1732" s="116">
        <f t="shared" si="689"/>
        <v>0</v>
      </c>
      <c r="N1732" s="116">
        <f t="shared" si="689"/>
        <v>0</v>
      </c>
      <c r="O1732" s="116">
        <f t="shared" si="689"/>
        <v>0</v>
      </c>
      <c r="P1732" s="116">
        <f t="shared" si="689"/>
        <v>0</v>
      </c>
    </row>
    <row r="1733" spans="1:16" s="1" customFormat="1">
      <c r="A1733" s="121"/>
      <c r="B1733" s="128" t="s">
        <v>35</v>
      </c>
      <c r="C1733" s="116">
        <f t="shared" si="688"/>
        <v>4500</v>
      </c>
      <c r="D1733" s="116">
        <f t="shared" si="688"/>
        <v>0</v>
      </c>
      <c r="E1733" s="116">
        <f t="shared" si="688"/>
        <v>4500</v>
      </c>
      <c r="F1733" s="116">
        <f t="shared" si="688"/>
        <v>0</v>
      </c>
      <c r="G1733" s="116">
        <f t="shared" si="688"/>
        <v>0</v>
      </c>
      <c r="H1733" s="31"/>
      <c r="I1733" s="31"/>
      <c r="J1733" s="31"/>
      <c r="K1733" s="31"/>
      <c r="L1733" s="116">
        <f t="shared" si="689"/>
        <v>0</v>
      </c>
      <c r="M1733" s="116">
        <f t="shared" si="689"/>
        <v>0</v>
      </c>
      <c r="N1733" s="116">
        <f t="shared" si="689"/>
        <v>0</v>
      </c>
      <c r="O1733" s="116">
        <f t="shared" si="689"/>
        <v>0</v>
      </c>
      <c r="P1733" s="116">
        <f t="shared" si="689"/>
        <v>0</v>
      </c>
    </row>
    <row r="1734" spans="1:16" s="1" customFormat="1" ht="30">
      <c r="A1734" s="121"/>
      <c r="B1734" s="123" t="s">
        <v>36</v>
      </c>
      <c r="C1734" s="116">
        <f t="shared" si="688"/>
        <v>0</v>
      </c>
      <c r="D1734" s="116">
        <f t="shared" si="688"/>
        <v>0</v>
      </c>
      <c r="E1734" s="116">
        <f t="shared" si="688"/>
        <v>0</v>
      </c>
      <c r="F1734" s="116">
        <f t="shared" si="688"/>
        <v>0</v>
      </c>
      <c r="G1734" s="116">
        <f t="shared" si="688"/>
        <v>0</v>
      </c>
      <c r="H1734" s="31"/>
      <c r="I1734" s="31"/>
      <c r="J1734" s="31"/>
      <c r="K1734" s="31"/>
      <c r="L1734" s="116">
        <f t="shared" si="689"/>
        <v>0</v>
      </c>
      <c r="M1734" s="116">
        <f t="shared" si="689"/>
        <v>0</v>
      </c>
      <c r="N1734" s="116">
        <f t="shared" si="689"/>
        <v>0</v>
      </c>
      <c r="O1734" s="116">
        <f t="shared" si="689"/>
        <v>0</v>
      </c>
      <c r="P1734" s="116">
        <f t="shared" si="689"/>
        <v>0</v>
      </c>
    </row>
    <row r="1735" spans="1:16" s="1" customFormat="1">
      <c r="A1735" s="121"/>
      <c r="B1735" s="127" t="s">
        <v>37</v>
      </c>
      <c r="C1735" s="116">
        <f t="shared" si="688"/>
        <v>334440.25</v>
      </c>
      <c r="D1735" s="116">
        <f t="shared" si="688"/>
        <v>5209.91</v>
      </c>
      <c r="E1735" s="116">
        <f t="shared" si="688"/>
        <v>334440.25</v>
      </c>
      <c r="F1735" s="116">
        <f t="shared" si="688"/>
        <v>0</v>
      </c>
      <c r="G1735" s="116">
        <f t="shared" si="688"/>
        <v>0</v>
      </c>
      <c r="H1735" s="31"/>
      <c r="I1735" s="31"/>
      <c r="J1735" s="31"/>
      <c r="K1735" s="31"/>
      <c r="L1735" s="116">
        <f t="shared" si="689"/>
        <v>0</v>
      </c>
      <c r="M1735" s="116">
        <f t="shared" si="689"/>
        <v>5209.91</v>
      </c>
      <c r="N1735" s="116">
        <f t="shared" si="689"/>
        <v>0</v>
      </c>
      <c r="O1735" s="116">
        <f t="shared" si="689"/>
        <v>0</v>
      </c>
      <c r="P1735" s="116">
        <f t="shared" si="689"/>
        <v>0</v>
      </c>
    </row>
    <row r="1736" spans="1:16" s="1" customFormat="1" ht="30">
      <c r="A1736" s="121"/>
      <c r="B1736" s="127" t="s">
        <v>38</v>
      </c>
      <c r="C1736" s="116">
        <f t="shared" si="688"/>
        <v>0</v>
      </c>
      <c r="D1736" s="116">
        <f t="shared" si="688"/>
        <v>0</v>
      </c>
      <c r="E1736" s="116">
        <f t="shared" si="688"/>
        <v>0</v>
      </c>
      <c r="F1736" s="116">
        <f t="shared" si="688"/>
        <v>0</v>
      </c>
      <c r="G1736" s="116">
        <f t="shared" si="688"/>
        <v>0</v>
      </c>
      <c r="H1736" s="31"/>
      <c r="I1736" s="31"/>
      <c r="J1736" s="31"/>
      <c r="K1736" s="31"/>
      <c r="L1736" s="116">
        <f t="shared" si="689"/>
        <v>0</v>
      </c>
      <c r="M1736" s="116">
        <f t="shared" si="689"/>
        <v>0</v>
      </c>
      <c r="N1736" s="116">
        <f t="shared" si="689"/>
        <v>0</v>
      </c>
      <c r="O1736" s="116">
        <f t="shared" si="689"/>
        <v>0</v>
      </c>
      <c r="P1736" s="116">
        <f t="shared" si="689"/>
        <v>0</v>
      </c>
    </row>
    <row r="1737" spans="1:16" s="1" customFormat="1" ht="30">
      <c r="A1737" s="121"/>
      <c r="B1737" s="129" t="s">
        <v>39</v>
      </c>
      <c r="C1737" s="125">
        <f t="shared" ref="C1737:G1737" si="690">SUM(C1738:C1744)</f>
        <v>1980</v>
      </c>
      <c r="D1737" s="125">
        <f t="shared" si="690"/>
        <v>116566.65</v>
      </c>
      <c r="E1737" s="125">
        <f t="shared" si="690"/>
        <v>1980</v>
      </c>
      <c r="F1737" s="125">
        <f t="shared" si="690"/>
        <v>0</v>
      </c>
      <c r="G1737" s="125">
        <f t="shared" si="690"/>
        <v>0</v>
      </c>
      <c r="H1737" s="31"/>
      <c r="I1737" s="31"/>
      <c r="J1737" s="31"/>
      <c r="K1737" s="31"/>
      <c r="L1737" s="125">
        <f t="shared" ref="L1737:P1737" si="691">SUM(L1738:L1744)</f>
        <v>0</v>
      </c>
      <c r="M1737" s="125">
        <f t="shared" si="691"/>
        <v>116566.65</v>
      </c>
      <c r="N1737" s="125">
        <f t="shared" si="691"/>
        <v>0</v>
      </c>
      <c r="O1737" s="125">
        <f t="shared" si="691"/>
        <v>0</v>
      </c>
      <c r="P1737" s="125">
        <f t="shared" si="691"/>
        <v>0</v>
      </c>
    </row>
    <row r="1738" spans="1:16" s="1" customFormat="1" ht="30">
      <c r="A1738" s="121" t="s">
        <v>40</v>
      </c>
      <c r="B1738" s="127" t="s">
        <v>41</v>
      </c>
      <c r="C1738" s="116">
        <f t="shared" ref="C1738:G1744" si="692">C1558+C1588+C1618+C1648+C1678+C1708</f>
        <v>0</v>
      </c>
      <c r="D1738" s="116">
        <f t="shared" si="692"/>
        <v>0</v>
      </c>
      <c r="E1738" s="116">
        <f t="shared" si="692"/>
        <v>0</v>
      </c>
      <c r="F1738" s="116">
        <f t="shared" si="692"/>
        <v>0</v>
      </c>
      <c r="G1738" s="116">
        <f t="shared" si="692"/>
        <v>0</v>
      </c>
      <c r="H1738" s="31"/>
      <c r="I1738" s="31"/>
      <c r="J1738" s="31"/>
      <c r="K1738" s="31"/>
      <c r="L1738" s="116">
        <f t="shared" ref="L1738:P1744" si="693">L1558+L1588+L1618+L1648+L1678+L1708</f>
        <v>0</v>
      </c>
      <c r="M1738" s="116">
        <f t="shared" si="693"/>
        <v>0</v>
      </c>
      <c r="N1738" s="116">
        <f t="shared" si="693"/>
        <v>0</v>
      </c>
      <c r="O1738" s="116">
        <f t="shared" si="693"/>
        <v>0</v>
      </c>
      <c r="P1738" s="116">
        <f t="shared" si="693"/>
        <v>0</v>
      </c>
    </row>
    <row r="1739" spans="1:16" s="1" customFormat="1">
      <c r="A1739" s="121"/>
      <c r="B1739" s="127" t="s">
        <v>42</v>
      </c>
      <c r="C1739" s="116">
        <f t="shared" si="692"/>
        <v>0</v>
      </c>
      <c r="D1739" s="116">
        <f t="shared" si="692"/>
        <v>0</v>
      </c>
      <c r="E1739" s="116">
        <f t="shared" si="692"/>
        <v>0</v>
      </c>
      <c r="F1739" s="116">
        <f t="shared" si="692"/>
        <v>0</v>
      </c>
      <c r="G1739" s="116">
        <f t="shared" si="692"/>
        <v>0</v>
      </c>
      <c r="H1739" s="31"/>
      <c r="I1739" s="31"/>
      <c r="J1739" s="31"/>
      <c r="K1739" s="31"/>
      <c r="L1739" s="116">
        <f t="shared" si="693"/>
        <v>0</v>
      </c>
      <c r="M1739" s="116">
        <f t="shared" si="693"/>
        <v>0</v>
      </c>
      <c r="N1739" s="116">
        <f t="shared" si="693"/>
        <v>0</v>
      </c>
      <c r="O1739" s="116">
        <f t="shared" si="693"/>
        <v>0</v>
      </c>
      <c r="P1739" s="116">
        <f t="shared" si="693"/>
        <v>0</v>
      </c>
    </row>
    <row r="1740" spans="1:16" s="1" customFormat="1">
      <c r="A1740" s="121"/>
      <c r="B1740" s="127" t="s">
        <v>43</v>
      </c>
      <c r="C1740" s="116">
        <f t="shared" si="692"/>
        <v>0</v>
      </c>
      <c r="D1740" s="116">
        <f t="shared" si="692"/>
        <v>0</v>
      </c>
      <c r="E1740" s="116">
        <f t="shared" si="692"/>
        <v>0</v>
      </c>
      <c r="F1740" s="116">
        <f t="shared" si="692"/>
        <v>0</v>
      </c>
      <c r="G1740" s="116">
        <f t="shared" si="692"/>
        <v>0</v>
      </c>
      <c r="H1740" s="31"/>
      <c r="I1740" s="31"/>
      <c r="J1740" s="31"/>
      <c r="K1740" s="31"/>
      <c r="L1740" s="116">
        <f t="shared" si="693"/>
        <v>0</v>
      </c>
      <c r="M1740" s="116">
        <f t="shared" si="693"/>
        <v>0</v>
      </c>
      <c r="N1740" s="116">
        <f t="shared" si="693"/>
        <v>0</v>
      </c>
      <c r="O1740" s="116">
        <f t="shared" si="693"/>
        <v>0</v>
      </c>
      <c r="P1740" s="116">
        <f t="shared" si="693"/>
        <v>0</v>
      </c>
    </row>
    <row r="1741" spans="1:16" s="1" customFormat="1">
      <c r="A1741" s="121"/>
      <c r="B1741" s="127" t="s">
        <v>44</v>
      </c>
      <c r="C1741" s="116">
        <f t="shared" si="692"/>
        <v>0</v>
      </c>
      <c r="D1741" s="116">
        <f t="shared" si="692"/>
        <v>0</v>
      </c>
      <c r="E1741" s="116">
        <f t="shared" si="692"/>
        <v>0</v>
      </c>
      <c r="F1741" s="116">
        <f t="shared" si="692"/>
        <v>0</v>
      </c>
      <c r="G1741" s="116">
        <f t="shared" si="692"/>
        <v>0</v>
      </c>
      <c r="H1741" s="31"/>
      <c r="I1741" s="31"/>
      <c r="J1741" s="31"/>
      <c r="K1741" s="31"/>
      <c r="L1741" s="116">
        <f t="shared" si="693"/>
        <v>0</v>
      </c>
      <c r="M1741" s="116">
        <f t="shared" si="693"/>
        <v>0</v>
      </c>
      <c r="N1741" s="116">
        <f t="shared" si="693"/>
        <v>0</v>
      </c>
      <c r="O1741" s="116">
        <f t="shared" si="693"/>
        <v>0</v>
      </c>
      <c r="P1741" s="116">
        <f t="shared" si="693"/>
        <v>0</v>
      </c>
    </row>
    <row r="1742" spans="1:16" s="1" customFormat="1">
      <c r="A1742" s="121"/>
      <c r="B1742" s="127" t="s">
        <v>45</v>
      </c>
      <c r="C1742" s="116">
        <f t="shared" si="692"/>
        <v>0</v>
      </c>
      <c r="D1742" s="116">
        <f t="shared" si="692"/>
        <v>115980.65</v>
      </c>
      <c r="E1742" s="116">
        <f t="shared" si="692"/>
        <v>0</v>
      </c>
      <c r="F1742" s="116">
        <f t="shared" si="692"/>
        <v>0</v>
      </c>
      <c r="G1742" s="116">
        <f t="shared" si="692"/>
        <v>0</v>
      </c>
      <c r="H1742" s="31"/>
      <c r="I1742" s="31"/>
      <c r="J1742" s="31"/>
      <c r="K1742" s="31"/>
      <c r="L1742" s="116">
        <f t="shared" si="693"/>
        <v>0</v>
      </c>
      <c r="M1742" s="116">
        <f t="shared" si="693"/>
        <v>115980.65</v>
      </c>
      <c r="N1742" s="116">
        <f t="shared" si="693"/>
        <v>0</v>
      </c>
      <c r="O1742" s="116">
        <f t="shared" si="693"/>
        <v>0</v>
      </c>
      <c r="P1742" s="116">
        <f t="shared" si="693"/>
        <v>0</v>
      </c>
    </row>
    <row r="1743" spans="1:16" s="1" customFormat="1" ht="30">
      <c r="A1743" s="121"/>
      <c r="B1743" s="127" t="s">
        <v>46</v>
      </c>
      <c r="C1743" s="116">
        <f t="shared" si="692"/>
        <v>0</v>
      </c>
      <c r="D1743" s="116">
        <f t="shared" si="692"/>
        <v>0</v>
      </c>
      <c r="E1743" s="116">
        <f t="shared" si="692"/>
        <v>0</v>
      </c>
      <c r="F1743" s="116">
        <f t="shared" si="692"/>
        <v>0</v>
      </c>
      <c r="G1743" s="116">
        <f t="shared" si="692"/>
        <v>0</v>
      </c>
      <c r="H1743" s="31"/>
      <c r="I1743" s="31"/>
      <c r="J1743" s="31"/>
      <c r="K1743" s="31"/>
      <c r="L1743" s="116">
        <f t="shared" si="693"/>
        <v>0</v>
      </c>
      <c r="M1743" s="116">
        <f t="shared" si="693"/>
        <v>0</v>
      </c>
      <c r="N1743" s="116">
        <f t="shared" si="693"/>
        <v>0</v>
      </c>
      <c r="O1743" s="116">
        <f t="shared" si="693"/>
        <v>0</v>
      </c>
      <c r="P1743" s="116">
        <f t="shared" si="693"/>
        <v>0</v>
      </c>
    </row>
    <row r="1744" spans="1:16" s="1" customFormat="1">
      <c r="A1744" s="121"/>
      <c r="B1744" s="127" t="s">
        <v>47</v>
      </c>
      <c r="C1744" s="116">
        <f t="shared" si="692"/>
        <v>1980</v>
      </c>
      <c r="D1744" s="116">
        <f t="shared" si="692"/>
        <v>586</v>
      </c>
      <c r="E1744" s="116">
        <f t="shared" si="692"/>
        <v>1980</v>
      </c>
      <c r="F1744" s="116">
        <f t="shared" si="692"/>
        <v>0</v>
      </c>
      <c r="G1744" s="116">
        <f t="shared" si="692"/>
        <v>0</v>
      </c>
      <c r="H1744" s="31"/>
      <c r="I1744" s="31"/>
      <c r="J1744" s="31"/>
      <c r="K1744" s="31"/>
      <c r="L1744" s="116">
        <f t="shared" si="693"/>
        <v>0</v>
      </c>
      <c r="M1744" s="116">
        <f t="shared" si="693"/>
        <v>586</v>
      </c>
      <c r="N1744" s="116">
        <f t="shared" si="693"/>
        <v>0</v>
      </c>
      <c r="O1744" s="116">
        <f t="shared" si="693"/>
        <v>0</v>
      </c>
      <c r="P1744" s="116">
        <f t="shared" si="693"/>
        <v>0</v>
      </c>
    </row>
    <row r="1745" spans="1:16" s="1" customFormat="1" ht="36.75" customHeight="1">
      <c r="A1745" s="211" t="s">
        <v>3</v>
      </c>
      <c r="B1745" s="213" t="s">
        <v>4</v>
      </c>
      <c r="C1745" s="213" t="s">
        <v>5</v>
      </c>
      <c r="D1745" s="10" t="s">
        <v>6</v>
      </c>
      <c r="E1745" s="215" t="s">
        <v>7</v>
      </c>
      <c r="F1745" s="216"/>
      <c r="G1745" s="217"/>
      <c r="H1745" s="218" t="s">
        <v>8</v>
      </c>
      <c r="I1745" s="218"/>
      <c r="J1745" s="218"/>
      <c r="K1745" s="11"/>
      <c r="L1745" s="219" t="s">
        <v>9</v>
      </c>
      <c r="M1745" s="12" t="s">
        <v>6</v>
      </c>
      <c r="N1745" s="208" t="s">
        <v>10</v>
      </c>
      <c r="O1745" s="209"/>
      <c r="P1745" s="210"/>
    </row>
    <row r="1746" spans="1:16" s="1" customFormat="1" ht="47.25" customHeight="1">
      <c r="A1746" s="212"/>
      <c r="B1746" s="214"/>
      <c r="C1746" s="214"/>
      <c r="D1746" s="13" t="s">
        <v>11</v>
      </c>
      <c r="E1746" s="13" t="s">
        <v>12</v>
      </c>
      <c r="F1746" s="13" t="s">
        <v>13</v>
      </c>
      <c r="G1746" s="13" t="s">
        <v>14</v>
      </c>
      <c r="H1746" s="14" t="s">
        <v>15</v>
      </c>
      <c r="I1746" s="14" t="s">
        <v>16</v>
      </c>
      <c r="J1746" s="14" t="s">
        <v>17</v>
      </c>
      <c r="K1746" s="14" t="s">
        <v>18</v>
      </c>
      <c r="L1746" s="220"/>
      <c r="M1746" s="15" t="s">
        <v>11</v>
      </c>
      <c r="N1746" s="15" t="s">
        <v>12</v>
      </c>
      <c r="O1746" s="15" t="s">
        <v>13</v>
      </c>
      <c r="P1746" s="15" t="s">
        <v>14</v>
      </c>
    </row>
    <row r="1747" spans="1:16" s="1" customFormat="1" ht="30">
      <c r="A1747" s="130">
        <v>1</v>
      </c>
      <c r="B1747" s="17" t="s">
        <v>103</v>
      </c>
      <c r="C1747" s="21">
        <f t="shared" ref="C1747:G1747" si="694">C1748+C1749+C1750+C1751+C1752+C1753+C1754+C1755+C1760+C1761+C1762+C1763+C1764+C1765+C1766+C1767</f>
        <v>2543991.84</v>
      </c>
      <c r="D1747" s="21">
        <f t="shared" si="694"/>
        <v>656656.13000000012</v>
      </c>
      <c r="E1747" s="21">
        <f t="shared" si="694"/>
        <v>2264939.08</v>
      </c>
      <c r="F1747" s="21">
        <f t="shared" si="694"/>
        <v>279052.76</v>
      </c>
      <c r="G1747" s="21">
        <f t="shared" si="694"/>
        <v>0</v>
      </c>
      <c r="H1747" s="131"/>
      <c r="I1747" s="132"/>
      <c r="J1747" s="132"/>
      <c r="K1747" s="133"/>
      <c r="L1747" s="21">
        <f t="shared" ref="L1747:P1747" si="695">L1748+L1749+L1750+L1751+L1752+L1753+L1754+L1755+L1760+L1761+L1762+L1763+L1764+L1765+L1766+L1767</f>
        <v>0</v>
      </c>
      <c r="M1747" s="21">
        <f t="shared" si="695"/>
        <v>656656.13000000012</v>
      </c>
      <c r="N1747" s="21">
        <f t="shared" si="695"/>
        <v>0</v>
      </c>
      <c r="O1747" s="21">
        <f t="shared" si="695"/>
        <v>0</v>
      </c>
      <c r="P1747" s="21">
        <f t="shared" si="695"/>
        <v>0</v>
      </c>
    </row>
    <row r="1748" spans="1:16" s="1" customFormat="1">
      <c r="A1748" s="22"/>
      <c r="B1748" s="23" t="s">
        <v>20</v>
      </c>
      <c r="C1748" s="24">
        <f t="shared" ref="C1748:C1754" si="696">E1748+F1748+G1748</f>
        <v>48542.76</v>
      </c>
      <c r="D1748" s="25"/>
      <c r="E1748" s="24"/>
      <c r="F1748" s="134">
        <f>8542.76+40000</f>
        <v>48542.76</v>
      </c>
      <c r="G1748" s="25"/>
      <c r="H1748" s="26"/>
      <c r="I1748" s="24"/>
      <c r="J1748" s="24"/>
      <c r="K1748" s="27"/>
      <c r="L1748" s="24">
        <f t="shared" ref="L1748:L1754" si="697">N1748+O1748+P1748</f>
        <v>0</v>
      </c>
      <c r="M1748" s="25"/>
      <c r="N1748" s="24"/>
      <c r="O1748" s="134"/>
      <c r="P1748" s="25"/>
    </row>
    <row r="1749" spans="1:16" s="1" customFormat="1">
      <c r="A1749" s="28"/>
      <c r="B1749" s="29" t="s">
        <v>21</v>
      </c>
      <c r="C1749" s="24">
        <f t="shared" si="696"/>
        <v>0</v>
      </c>
      <c r="D1749" s="24">
        <f>94548+4164.36</f>
        <v>98712.36</v>
      </c>
      <c r="E1749" s="24"/>
      <c r="F1749" s="30"/>
      <c r="G1749" s="30"/>
      <c r="H1749" s="31"/>
      <c r="I1749" s="31"/>
      <c r="J1749" s="31"/>
      <c r="K1749" s="31"/>
      <c r="L1749" s="24">
        <f t="shared" si="697"/>
        <v>0</v>
      </c>
      <c r="M1749" s="24">
        <f>94548+4164.36</f>
        <v>98712.36</v>
      </c>
      <c r="N1749" s="24"/>
      <c r="O1749" s="30"/>
      <c r="P1749" s="30"/>
    </row>
    <row r="1750" spans="1:16" s="1" customFormat="1">
      <c r="A1750" s="28"/>
      <c r="B1750" s="32" t="s">
        <v>22</v>
      </c>
      <c r="C1750" s="24">
        <f t="shared" si="696"/>
        <v>0</v>
      </c>
      <c r="D1750" s="24"/>
      <c r="E1750" s="24"/>
      <c r="F1750" s="30"/>
      <c r="G1750" s="30"/>
      <c r="H1750" s="31"/>
      <c r="I1750" s="31"/>
      <c r="J1750" s="31"/>
      <c r="K1750" s="31"/>
      <c r="L1750" s="24">
        <f t="shared" si="697"/>
        <v>0</v>
      </c>
      <c r="M1750" s="24"/>
      <c r="N1750" s="24"/>
      <c r="O1750" s="30"/>
      <c r="P1750" s="30"/>
    </row>
    <row r="1751" spans="1:16" s="1" customFormat="1">
      <c r="A1751" s="28"/>
      <c r="B1751" s="32" t="s">
        <v>23</v>
      </c>
      <c r="C1751" s="24">
        <f t="shared" si="696"/>
        <v>7675.66</v>
      </c>
      <c r="D1751" s="24">
        <v>177.84</v>
      </c>
      <c r="E1751" s="24">
        <f>7675.66</f>
        <v>7675.66</v>
      </c>
      <c r="F1751" s="30"/>
      <c r="G1751" s="30"/>
      <c r="H1751" s="31"/>
      <c r="I1751" s="31"/>
      <c r="J1751" s="31"/>
      <c r="K1751" s="31"/>
      <c r="L1751" s="24">
        <f t="shared" si="697"/>
        <v>0</v>
      </c>
      <c r="M1751" s="24">
        <v>177.84</v>
      </c>
      <c r="N1751" s="24"/>
      <c r="O1751" s="30"/>
      <c r="P1751" s="30"/>
    </row>
    <row r="1752" spans="1:16" s="1" customFormat="1">
      <c r="A1752" s="28"/>
      <c r="B1752" s="29" t="s">
        <v>24</v>
      </c>
      <c r="C1752" s="24">
        <f t="shared" si="696"/>
        <v>0</v>
      </c>
      <c r="D1752" s="24">
        <f>13145.5+172410.76+33351.19+71456.02</f>
        <v>290363.47000000003</v>
      </c>
      <c r="E1752" s="24"/>
      <c r="F1752" s="30"/>
      <c r="G1752" s="30"/>
      <c r="H1752" s="31"/>
      <c r="I1752" s="31"/>
      <c r="J1752" s="31"/>
      <c r="K1752" s="31"/>
      <c r="L1752" s="24">
        <f t="shared" si="697"/>
        <v>0</v>
      </c>
      <c r="M1752" s="24">
        <f>13145.5+172410.76+33351.19+71456.02</f>
        <v>290363.47000000003</v>
      </c>
      <c r="N1752" s="24"/>
      <c r="O1752" s="30"/>
      <c r="P1752" s="30"/>
    </row>
    <row r="1753" spans="1:16" s="1" customFormat="1">
      <c r="A1753" s="28"/>
      <c r="B1753" s="34" t="s">
        <v>25</v>
      </c>
      <c r="C1753" s="24">
        <f t="shared" si="696"/>
        <v>0</v>
      </c>
      <c r="D1753" s="24">
        <v>2556.33</v>
      </c>
      <c r="E1753" s="24"/>
      <c r="F1753" s="30"/>
      <c r="G1753" s="30"/>
      <c r="H1753" s="31"/>
      <c r="I1753" s="31"/>
      <c r="J1753" s="31"/>
      <c r="K1753" s="31"/>
      <c r="L1753" s="24">
        <f t="shared" si="697"/>
        <v>0</v>
      </c>
      <c r="M1753" s="24">
        <v>2556.33</v>
      </c>
      <c r="N1753" s="24"/>
      <c r="O1753" s="30"/>
      <c r="P1753" s="30"/>
    </row>
    <row r="1754" spans="1:16" s="1" customFormat="1">
      <c r="A1754" s="28"/>
      <c r="B1754" s="32" t="s">
        <v>26</v>
      </c>
      <c r="C1754" s="24">
        <f t="shared" si="696"/>
        <v>0</v>
      </c>
      <c r="D1754" s="30"/>
      <c r="E1754" s="30"/>
      <c r="F1754" s="30"/>
      <c r="G1754" s="30"/>
      <c r="H1754" s="31"/>
      <c r="I1754" s="31"/>
      <c r="J1754" s="31"/>
      <c r="K1754" s="31"/>
      <c r="L1754" s="24">
        <f t="shared" si="697"/>
        <v>0</v>
      </c>
      <c r="M1754" s="30"/>
      <c r="N1754" s="30"/>
      <c r="O1754" s="30"/>
      <c r="P1754" s="30"/>
    </row>
    <row r="1755" spans="1:16" s="1" customFormat="1" ht="30">
      <c r="A1755" s="28"/>
      <c r="B1755" s="35" t="s">
        <v>27</v>
      </c>
      <c r="C1755" s="36">
        <f t="shared" ref="C1755:G1755" si="698">SUM(C1756:C1759)</f>
        <v>1977030.0899999999</v>
      </c>
      <c r="D1755" s="36">
        <f t="shared" si="698"/>
        <v>45679.08</v>
      </c>
      <c r="E1755" s="36">
        <f t="shared" si="698"/>
        <v>1977030.0899999999</v>
      </c>
      <c r="F1755" s="36">
        <f t="shared" si="698"/>
        <v>0</v>
      </c>
      <c r="G1755" s="36">
        <f t="shared" si="698"/>
        <v>0</v>
      </c>
      <c r="H1755" s="31"/>
      <c r="I1755" s="31"/>
      <c r="J1755" s="31"/>
      <c r="K1755" s="31"/>
      <c r="L1755" s="36">
        <f t="shared" ref="L1755:P1755" si="699">SUM(L1756:L1759)</f>
        <v>0</v>
      </c>
      <c r="M1755" s="36">
        <f t="shared" si="699"/>
        <v>45679.08</v>
      </c>
      <c r="N1755" s="36">
        <f t="shared" si="699"/>
        <v>0</v>
      </c>
      <c r="O1755" s="36">
        <f t="shared" si="699"/>
        <v>0</v>
      </c>
      <c r="P1755" s="36">
        <f t="shared" si="699"/>
        <v>0</v>
      </c>
    </row>
    <row r="1756" spans="1:16" s="1" customFormat="1">
      <c r="A1756" s="28"/>
      <c r="B1756" s="38" t="s">
        <v>28</v>
      </c>
      <c r="C1756" s="24">
        <f t="shared" ref="C1756:C1766" si="700">E1756+F1756+G1756</f>
        <v>1936975.41</v>
      </c>
      <c r="D1756" s="24"/>
      <c r="E1756" s="24">
        <v>1936975.41</v>
      </c>
      <c r="F1756" s="30"/>
      <c r="G1756" s="30"/>
      <c r="H1756" s="31"/>
      <c r="I1756" s="31"/>
      <c r="J1756" s="31"/>
      <c r="K1756" s="31"/>
      <c r="L1756" s="24">
        <f t="shared" ref="L1756:L1766" si="701">N1756+O1756+P1756</f>
        <v>0</v>
      </c>
      <c r="M1756" s="24"/>
      <c r="N1756" s="24"/>
      <c r="O1756" s="30"/>
      <c r="P1756" s="30"/>
    </row>
    <row r="1757" spans="1:16" s="1" customFormat="1">
      <c r="A1757" s="28"/>
      <c r="B1757" s="38" t="s">
        <v>29</v>
      </c>
      <c r="C1757" s="24">
        <f t="shared" si="700"/>
        <v>0</v>
      </c>
      <c r="D1757" s="24">
        <v>43275.92</v>
      </c>
      <c r="E1757" s="24"/>
      <c r="F1757" s="30"/>
      <c r="G1757" s="30"/>
      <c r="H1757" s="31"/>
      <c r="I1757" s="31"/>
      <c r="J1757" s="31"/>
      <c r="K1757" s="31"/>
      <c r="L1757" s="24">
        <f t="shared" si="701"/>
        <v>0</v>
      </c>
      <c r="M1757" s="24">
        <v>43275.92</v>
      </c>
      <c r="N1757" s="24"/>
      <c r="O1757" s="30"/>
      <c r="P1757" s="30"/>
    </row>
    <row r="1758" spans="1:16" s="1" customFormat="1">
      <c r="A1758" s="28"/>
      <c r="B1758" s="38" t="s">
        <v>30</v>
      </c>
      <c r="C1758" s="24">
        <f t="shared" si="700"/>
        <v>0</v>
      </c>
      <c r="D1758" s="24">
        <v>2403.16</v>
      </c>
      <c r="E1758" s="24"/>
      <c r="F1758" s="30"/>
      <c r="G1758" s="30"/>
      <c r="H1758" s="31"/>
      <c r="I1758" s="31"/>
      <c r="J1758" s="31"/>
      <c r="K1758" s="31"/>
      <c r="L1758" s="24">
        <f t="shared" si="701"/>
        <v>0</v>
      </c>
      <c r="M1758" s="24">
        <v>2403.16</v>
      </c>
      <c r="N1758" s="24"/>
      <c r="O1758" s="30"/>
      <c r="P1758" s="30"/>
    </row>
    <row r="1759" spans="1:16" s="1" customFormat="1">
      <c r="A1759" s="28"/>
      <c r="B1759" s="38" t="s">
        <v>31</v>
      </c>
      <c r="C1759" s="24">
        <f t="shared" si="700"/>
        <v>40054.68</v>
      </c>
      <c r="D1759" s="24"/>
      <c r="E1759" s="24">
        <v>40054.68</v>
      </c>
      <c r="F1759" s="30"/>
      <c r="G1759" s="30"/>
      <c r="H1759" s="31"/>
      <c r="I1759" s="31"/>
      <c r="J1759" s="31"/>
      <c r="K1759" s="31"/>
      <c r="L1759" s="24">
        <f t="shared" si="701"/>
        <v>0</v>
      </c>
      <c r="M1759" s="24"/>
      <c r="N1759" s="24"/>
      <c r="O1759" s="30"/>
      <c r="P1759" s="30"/>
    </row>
    <row r="1760" spans="1:16" s="1" customFormat="1" ht="30">
      <c r="A1760" s="28"/>
      <c r="B1760" s="39" t="s">
        <v>32</v>
      </c>
      <c r="C1760" s="24">
        <f t="shared" si="700"/>
        <v>0</v>
      </c>
      <c r="D1760" s="24"/>
      <c r="E1760" s="24"/>
      <c r="F1760" s="30"/>
      <c r="G1760" s="30"/>
      <c r="H1760" s="31"/>
      <c r="I1760" s="31"/>
      <c r="J1760" s="31"/>
      <c r="K1760" s="31"/>
      <c r="L1760" s="24">
        <f t="shared" si="701"/>
        <v>0</v>
      </c>
      <c r="M1760" s="24"/>
      <c r="N1760" s="24"/>
      <c r="O1760" s="30"/>
      <c r="P1760" s="30"/>
    </row>
    <row r="1761" spans="1:16" s="1" customFormat="1" ht="30">
      <c r="A1761" s="28"/>
      <c r="B1761" s="39" t="s">
        <v>33</v>
      </c>
      <c r="C1761" s="24">
        <f t="shared" si="700"/>
        <v>0</v>
      </c>
      <c r="D1761" s="24">
        <f>22.09+31476.2</f>
        <v>31498.29</v>
      </c>
      <c r="E1761" s="24"/>
      <c r="F1761" s="30"/>
      <c r="G1761" s="30"/>
      <c r="H1761" s="31"/>
      <c r="I1761" s="31"/>
      <c r="J1761" s="31"/>
      <c r="K1761" s="31"/>
      <c r="L1761" s="24">
        <f t="shared" si="701"/>
        <v>0</v>
      </c>
      <c r="M1761" s="24">
        <f>22.09+31476.2</f>
        <v>31498.29</v>
      </c>
      <c r="N1761" s="24"/>
      <c r="O1761" s="30"/>
      <c r="P1761" s="30"/>
    </row>
    <row r="1762" spans="1:16" s="1" customFormat="1" ht="30">
      <c r="A1762" s="28"/>
      <c r="B1762" s="40" t="s">
        <v>34</v>
      </c>
      <c r="C1762" s="24">
        <f t="shared" si="700"/>
        <v>230000</v>
      </c>
      <c r="D1762" s="24"/>
      <c r="E1762" s="24"/>
      <c r="F1762" s="30">
        <v>230000</v>
      </c>
      <c r="G1762" s="30"/>
      <c r="H1762" s="31"/>
      <c r="I1762" s="31"/>
      <c r="J1762" s="31"/>
      <c r="K1762" s="31"/>
      <c r="L1762" s="24">
        <f t="shared" si="701"/>
        <v>0</v>
      </c>
      <c r="M1762" s="24"/>
      <c r="N1762" s="24"/>
      <c r="O1762" s="30"/>
      <c r="P1762" s="30"/>
    </row>
    <row r="1763" spans="1:16" s="1" customFormat="1">
      <c r="A1763" s="28"/>
      <c r="B1763" s="40" t="s">
        <v>35</v>
      </c>
      <c r="C1763" s="24">
        <f t="shared" si="700"/>
        <v>0</v>
      </c>
      <c r="D1763" s="24">
        <f>680+2610</f>
        <v>3290</v>
      </c>
      <c r="E1763" s="24"/>
      <c r="F1763" s="30"/>
      <c r="G1763" s="30"/>
      <c r="H1763" s="31"/>
      <c r="I1763" s="31"/>
      <c r="J1763" s="31"/>
      <c r="K1763" s="31"/>
      <c r="L1763" s="24">
        <f t="shared" si="701"/>
        <v>0</v>
      </c>
      <c r="M1763" s="24">
        <f>680+2610</f>
        <v>3290</v>
      </c>
      <c r="N1763" s="24"/>
      <c r="O1763" s="30"/>
      <c r="P1763" s="30"/>
    </row>
    <row r="1764" spans="1:16" s="1" customFormat="1" ht="30">
      <c r="A1764" s="28"/>
      <c r="B1764" s="41" t="s">
        <v>36</v>
      </c>
      <c r="C1764" s="24">
        <f t="shared" si="700"/>
        <v>0</v>
      </c>
      <c r="D1764" s="24"/>
      <c r="E1764" s="24"/>
      <c r="F1764" s="30"/>
      <c r="G1764" s="30"/>
      <c r="H1764" s="31"/>
      <c r="I1764" s="31"/>
      <c r="J1764" s="31"/>
      <c r="K1764" s="31"/>
      <c r="L1764" s="24">
        <f t="shared" si="701"/>
        <v>0</v>
      </c>
      <c r="M1764" s="24"/>
      <c r="N1764" s="24"/>
      <c r="O1764" s="30"/>
      <c r="P1764" s="30"/>
    </row>
    <row r="1765" spans="1:16" s="1" customFormat="1">
      <c r="A1765" s="28"/>
      <c r="B1765" s="42" t="s">
        <v>37</v>
      </c>
      <c r="C1765" s="24">
        <f t="shared" si="700"/>
        <v>138889.07</v>
      </c>
      <c r="D1765" s="24">
        <f>35955.07</f>
        <v>35955.07</v>
      </c>
      <c r="E1765" s="24">
        <f>76192+72.31+62624.76</f>
        <v>138889.07</v>
      </c>
      <c r="F1765" s="30"/>
      <c r="G1765" s="30"/>
      <c r="H1765" s="31"/>
      <c r="I1765" s="31"/>
      <c r="J1765" s="31"/>
      <c r="K1765" s="31"/>
      <c r="L1765" s="24">
        <f t="shared" si="701"/>
        <v>0</v>
      </c>
      <c r="M1765" s="24">
        <f>35955.07</f>
        <v>35955.07</v>
      </c>
      <c r="N1765" s="24"/>
      <c r="O1765" s="30"/>
      <c r="P1765" s="30"/>
    </row>
    <row r="1766" spans="1:16" s="1" customFormat="1" ht="30">
      <c r="A1766" s="28"/>
      <c r="B1766" s="42" t="s">
        <v>38</v>
      </c>
      <c r="C1766" s="24">
        <f t="shared" si="700"/>
        <v>0</v>
      </c>
      <c r="D1766" s="24">
        <f>920</f>
        <v>920</v>
      </c>
      <c r="E1766" s="24"/>
      <c r="F1766" s="30"/>
      <c r="G1766" s="30"/>
      <c r="H1766" s="31"/>
      <c r="I1766" s="31"/>
      <c r="J1766" s="31"/>
      <c r="K1766" s="31"/>
      <c r="L1766" s="24">
        <f t="shared" si="701"/>
        <v>0</v>
      </c>
      <c r="M1766" s="24">
        <f>920</f>
        <v>920</v>
      </c>
      <c r="N1766" s="24"/>
      <c r="O1766" s="30"/>
      <c r="P1766" s="30"/>
    </row>
    <row r="1767" spans="1:16" s="1" customFormat="1" ht="30">
      <c r="A1767" s="28"/>
      <c r="B1767" s="43" t="s">
        <v>39</v>
      </c>
      <c r="C1767" s="36">
        <f t="shared" ref="C1767:G1767" si="702">SUM(C1768:C1774)</f>
        <v>141854.26</v>
      </c>
      <c r="D1767" s="36">
        <f t="shared" si="702"/>
        <v>147503.69</v>
      </c>
      <c r="E1767" s="36">
        <f t="shared" si="702"/>
        <v>141344.26</v>
      </c>
      <c r="F1767" s="36">
        <f t="shared" si="702"/>
        <v>510</v>
      </c>
      <c r="G1767" s="36">
        <f t="shared" si="702"/>
        <v>0</v>
      </c>
      <c r="H1767" s="31"/>
      <c r="I1767" s="31"/>
      <c r="J1767" s="31"/>
      <c r="K1767" s="31"/>
      <c r="L1767" s="36">
        <f t="shared" ref="L1767:P1767" si="703">SUM(L1768:L1774)</f>
        <v>0</v>
      </c>
      <c r="M1767" s="36">
        <f t="shared" si="703"/>
        <v>147503.69</v>
      </c>
      <c r="N1767" s="36">
        <f t="shared" si="703"/>
        <v>0</v>
      </c>
      <c r="O1767" s="36">
        <f t="shared" si="703"/>
        <v>0</v>
      </c>
      <c r="P1767" s="36">
        <f t="shared" si="703"/>
        <v>0</v>
      </c>
    </row>
    <row r="1768" spans="1:16" s="1" customFormat="1" ht="30">
      <c r="A1768" s="28" t="s">
        <v>40</v>
      </c>
      <c r="B1768" s="39" t="s">
        <v>41</v>
      </c>
      <c r="C1768" s="24">
        <f t="shared" ref="C1768:C1774" si="704">E1768+F1768+G1768</f>
        <v>0</v>
      </c>
      <c r="D1768" s="30"/>
      <c r="E1768" s="30"/>
      <c r="F1768" s="30"/>
      <c r="G1768" s="30"/>
      <c r="H1768" s="31"/>
      <c r="I1768" s="31"/>
      <c r="J1768" s="31"/>
      <c r="K1768" s="31"/>
      <c r="L1768" s="24">
        <f t="shared" ref="L1768:L1774" si="705">N1768+O1768+P1768</f>
        <v>0</v>
      </c>
      <c r="M1768" s="30"/>
      <c r="N1768" s="30"/>
      <c r="O1768" s="30"/>
      <c r="P1768" s="30"/>
    </row>
    <row r="1769" spans="1:16" s="1" customFormat="1">
      <c r="A1769" s="28"/>
      <c r="B1769" s="39" t="s">
        <v>42</v>
      </c>
      <c r="C1769" s="24">
        <f t="shared" si="704"/>
        <v>0</v>
      </c>
      <c r="D1769" s="30"/>
      <c r="E1769" s="30"/>
      <c r="F1769" s="30"/>
      <c r="G1769" s="30"/>
      <c r="H1769" s="31"/>
      <c r="I1769" s="31"/>
      <c r="J1769" s="31"/>
      <c r="K1769" s="31"/>
      <c r="L1769" s="24">
        <f t="shared" si="705"/>
        <v>0</v>
      </c>
      <c r="M1769" s="30"/>
      <c r="N1769" s="30"/>
      <c r="O1769" s="30"/>
      <c r="P1769" s="30"/>
    </row>
    <row r="1770" spans="1:16" s="1" customFormat="1">
      <c r="A1770" s="28"/>
      <c r="B1770" s="39" t="s">
        <v>43</v>
      </c>
      <c r="C1770" s="24">
        <f t="shared" si="704"/>
        <v>0</v>
      </c>
      <c r="D1770" s="24">
        <f>764.07</f>
        <v>764.07</v>
      </c>
      <c r="E1770" s="24"/>
      <c r="F1770" s="30"/>
      <c r="G1770" s="30"/>
      <c r="H1770" s="31"/>
      <c r="I1770" s="31"/>
      <c r="J1770" s="31"/>
      <c r="K1770" s="31"/>
      <c r="L1770" s="24">
        <f t="shared" si="705"/>
        <v>0</v>
      </c>
      <c r="M1770" s="24">
        <f>764.07</f>
        <v>764.07</v>
      </c>
      <c r="N1770" s="24"/>
      <c r="O1770" s="30"/>
      <c r="P1770" s="30"/>
    </row>
    <row r="1771" spans="1:16" s="1" customFormat="1">
      <c r="A1771" s="28"/>
      <c r="B1771" s="39" t="s">
        <v>44</v>
      </c>
      <c r="C1771" s="24">
        <f t="shared" si="704"/>
        <v>0</v>
      </c>
      <c r="D1771" s="24"/>
      <c r="E1771" s="24"/>
      <c r="F1771" s="30"/>
      <c r="G1771" s="30"/>
      <c r="H1771" s="31"/>
      <c r="I1771" s="31"/>
      <c r="J1771" s="31"/>
      <c r="K1771" s="31"/>
      <c r="L1771" s="24">
        <f t="shared" si="705"/>
        <v>0</v>
      </c>
      <c r="M1771" s="24"/>
      <c r="N1771" s="24"/>
      <c r="O1771" s="30"/>
      <c r="P1771" s="30"/>
    </row>
    <row r="1772" spans="1:16" s="1" customFormat="1">
      <c r="A1772" s="28"/>
      <c r="B1772" s="39" t="s">
        <v>45</v>
      </c>
      <c r="C1772" s="24">
        <f t="shared" si="704"/>
        <v>141344.26</v>
      </c>
      <c r="D1772" s="24">
        <v>40829.089999999997</v>
      </c>
      <c r="E1772" s="24">
        <v>141344.26</v>
      </c>
      <c r="F1772" s="30"/>
      <c r="G1772" s="30"/>
      <c r="H1772" s="31"/>
      <c r="I1772" s="31"/>
      <c r="J1772" s="31"/>
      <c r="K1772" s="31"/>
      <c r="L1772" s="24">
        <f t="shared" si="705"/>
        <v>0</v>
      </c>
      <c r="M1772" s="24">
        <v>40829.089999999997</v>
      </c>
      <c r="N1772" s="24"/>
      <c r="O1772" s="30"/>
      <c r="P1772" s="30"/>
    </row>
    <row r="1773" spans="1:16" s="1" customFormat="1" ht="30">
      <c r="A1773" s="28"/>
      <c r="B1773" s="39" t="s">
        <v>46</v>
      </c>
      <c r="C1773" s="24">
        <f t="shared" si="704"/>
        <v>0</v>
      </c>
      <c r="D1773" s="24"/>
      <c r="E1773" s="24"/>
      <c r="F1773" s="30"/>
      <c r="G1773" s="30"/>
      <c r="H1773" s="31"/>
      <c r="I1773" s="31"/>
      <c r="J1773" s="31"/>
      <c r="K1773" s="31"/>
      <c r="L1773" s="24">
        <f t="shared" si="705"/>
        <v>0</v>
      </c>
      <c r="M1773" s="24"/>
      <c r="N1773" s="24"/>
      <c r="O1773" s="30"/>
      <c r="P1773" s="30"/>
    </row>
    <row r="1774" spans="1:16" s="1" customFormat="1">
      <c r="A1774" s="28"/>
      <c r="B1774" s="39" t="s">
        <v>47</v>
      </c>
      <c r="C1774" s="24">
        <f t="shared" si="704"/>
        <v>510</v>
      </c>
      <c r="D1774" s="24">
        <f>209.4+43295.5+49414.5+1249.05+7973.99+1823.9+1944.19</f>
        <v>105910.53</v>
      </c>
      <c r="E1774" s="24"/>
      <c r="F1774" s="30">
        <v>510</v>
      </c>
      <c r="G1774" s="30"/>
      <c r="H1774" s="31"/>
      <c r="I1774" s="31"/>
      <c r="J1774" s="31"/>
      <c r="K1774" s="31"/>
      <c r="L1774" s="24">
        <f t="shared" si="705"/>
        <v>0</v>
      </c>
      <c r="M1774" s="24">
        <f>209.4+43295.5+49414.5+1249.05+7973.99+1823.9+1944.19</f>
        <v>105910.53</v>
      </c>
      <c r="N1774" s="24"/>
      <c r="O1774" s="30"/>
      <c r="P1774" s="30"/>
    </row>
    <row r="1775" spans="1:16" s="1" customFormat="1" ht="36.75" customHeight="1">
      <c r="A1775" s="211" t="s">
        <v>3</v>
      </c>
      <c r="B1775" s="213" t="s">
        <v>4</v>
      </c>
      <c r="C1775" s="213" t="s">
        <v>5</v>
      </c>
      <c r="D1775" s="10" t="s">
        <v>6</v>
      </c>
      <c r="E1775" s="215" t="s">
        <v>7</v>
      </c>
      <c r="F1775" s="216"/>
      <c r="G1775" s="217"/>
      <c r="H1775" s="218" t="s">
        <v>8</v>
      </c>
      <c r="I1775" s="218"/>
      <c r="J1775" s="218"/>
      <c r="K1775" s="11"/>
      <c r="L1775" s="219" t="s">
        <v>9</v>
      </c>
      <c r="M1775" s="12" t="s">
        <v>6</v>
      </c>
      <c r="N1775" s="208" t="s">
        <v>10</v>
      </c>
      <c r="O1775" s="209"/>
      <c r="P1775" s="210"/>
    </row>
    <row r="1776" spans="1:16" s="1" customFormat="1" ht="47.25" customHeight="1">
      <c r="A1776" s="212"/>
      <c r="B1776" s="214"/>
      <c r="C1776" s="214"/>
      <c r="D1776" s="13" t="s">
        <v>11</v>
      </c>
      <c r="E1776" s="13" t="s">
        <v>12</v>
      </c>
      <c r="F1776" s="13" t="s">
        <v>13</v>
      </c>
      <c r="G1776" s="13" t="s">
        <v>14</v>
      </c>
      <c r="H1776" s="14" t="s">
        <v>15</v>
      </c>
      <c r="I1776" s="14" t="s">
        <v>16</v>
      </c>
      <c r="J1776" s="14" t="s">
        <v>17</v>
      </c>
      <c r="K1776" s="14" t="s">
        <v>18</v>
      </c>
      <c r="L1776" s="220"/>
      <c r="M1776" s="15" t="s">
        <v>11</v>
      </c>
      <c r="N1776" s="15" t="s">
        <v>12</v>
      </c>
      <c r="O1776" s="15" t="s">
        <v>13</v>
      </c>
      <c r="P1776" s="15" t="s">
        <v>14</v>
      </c>
    </row>
    <row r="1777" spans="1:16" s="1" customFormat="1" ht="30">
      <c r="A1777" s="135">
        <v>2</v>
      </c>
      <c r="B1777" s="50" t="s">
        <v>104</v>
      </c>
      <c r="C1777" s="136">
        <f t="shared" ref="C1777:G1777" si="706">C1778+C1779+C1780+C1781+C1782+C1783+C1784+C1785+C1790+C1791+C1792+C1793+C1794+C1795+C1796+C1797</f>
        <v>1159907.8900000001</v>
      </c>
      <c r="D1777" s="136">
        <f t="shared" si="706"/>
        <v>877176.94</v>
      </c>
      <c r="E1777" s="136">
        <f t="shared" si="706"/>
        <v>1159907.8900000001</v>
      </c>
      <c r="F1777" s="136">
        <f t="shared" si="706"/>
        <v>0</v>
      </c>
      <c r="G1777" s="136">
        <f t="shared" si="706"/>
        <v>0</v>
      </c>
      <c r="H1777" s="137"/>
      <c r="I1777" s="138"/>
      <c r="J1777" s="138"/>
      <c r="K1777" s="133"/>
      <c r="L1777" s="136">
        <f t="shared" ref="L1777:P1777" si="707">L1778+L1779+L1780+L1781+L1782+L1783+L1784+L1785+L1790+L1791+L1792+L1793+L1794+L1795+L1796+L1797</f>
        <v>0</v>
      </c>
      <c r="M1777" s="136">
        <f t="shared" si="707"/>
        <v>877176.94</v>
      </c>
      <c r="N1777" s="136">
        <f t="shared" si="707"/>
        <v>0</v>
      </c>
      <c r="O1777" s="136">
        <f t="shared" si="707"/>
        <v>0</v>
      </c>
      <c r="P1777" s="136">
        <f t="shared" si="707"/>
        <v>0</v>
      </c>
    </row>
    <row r="1778" spans="1:16" s="5" customFormat="1">
      <c r="A1778" s="22"/>
      <c r="B1778" s="23" t="s">
        <v>20</v>
      </c>
      <c r="C1778" s="24">
        <f t="shared" ref="C1778:C1784" si="708">E1778+F1778+G1778</f>
        <v>0</v>
      </c>
      <c r="D1778" s="25"/>
      <c r="E1778" s="25"/>
      <c r="F1778" s="25"/>
      <c r="G1778" s="25"/>
      <c r="H1778" s="60"/>
      <c r="I1778" s="61"/>
      <c r="J1778" s="61"/>
      <c r="K1778" s="27"/>
      <c r="L1778" s="24">
        <f t="shared" ref="L1778:L1784" si="709">N1778+O1778+P1778</f>
        <v>0</v>
      </c>
      <c r="M1778" s="25"/>
      <c r="N1778" s="25"/>
      <c r="O1778" s="25"/>
      <c r="P1778" s="25"/>
    </row>
    <row r="1779" spans="1:16" s="1" customFormat="1">
      <c r="A1779" s="28"/>
      <c r="B1779" s="29" t="s">
        <v>21</v>
      </c>
      <c r="C1779" s="24">
        <f t="shared" si="708"/>
        <v>498088.32</v>
      </c>
      <c r="D1779" s="30">
        <v>8244.65</v>
      </c>
      <c r="E1779" s="30">
        <f>498088.32</f>
        <v>498088.32</v>
      </c>
      <c r="F1779" s="30"/>
      <c r="G1779" s="30"/>
      <c r="H1779" s="31"/>
      <c r="I1779" s="31"/>
      <c r="J1779" s="31"/>
      <c r="K1779" s="31"/>
      <c r="L1779" s="24">
        <f t="shared" si="709"/>
        <v>0</v>
      </c>
      <c r="M1779" s="30">
        <v>8244.65</v>
      </c>
      <c r="N1779" s="30"/>
      <c r="O1779" s="30"/>
      <c r="P1779" s="30"/>
    </row>
    <row r="1780" spans="1:16" s="1" customFormat="1">
      <c r="A1780" s="28"/>
      <c r="B1780" s="32" t="s">
        <v>22</v>
      </c>
      <c r="C1780" s="24">
        <f t="shared" si="708"/>
        <v>0</v>
      </c>
      <c r="D1780" s="30"/>
      <c r="E1780" s="30"/>
      <c r="F1780" s="30"/>
      <c r="G1780" s="30"/>
      <c r="H1780" s="31"/>
      <c r="I1780" s="31"/>
      <c r="J1780" s="31"/>
      <c r="K1780" s="31"/>
      <c r="L1780" s="24">
        <f t="shared" si="709"/>
        <v>0</v>
      </c>
      <c r="M1780" s="30"/>
      <c r="N1780" s="30"/>
      <c r="O1780" s="30"/>
      <c r="P1780" s="30"/>
    </row>
    <row r="1781" spans="1:16" s="1" customFormat="1">
      <c r="A1781" s="28"/>
      <c r="B1781" s="32" t="s">
        <v>23</v>
      </c>
      <c r="C1781" s="24">
        <f t="shared" si="708"/>
        <v>4000.01</v>
      </c>
      <c r="D1781" s="30">
        <v>10070.780000000001</v>
      </c>
      <c r="E1781" s="30">
        <v>4000.01</v>
      </c>
      <c r="F1781" s="30"/>
      <c r="G1781" s="30"/>
      <c r="H1781" s="31"/>
      <c r="I1781" s="31"/>
      <c r="J1781" s="31"/>
      <c r="K1781" s="31"/>
      <c r="L1781" s="24">
        <f t="shared" si="709"/>
        <v>0</v>
      </c>
      <c r="M1781" s="30">
        <v>10070.780000000001</v>
      </c>
      <c r="N1781" s="30"/>
      <c r="O1781" s="30"/>
      <c r="P1781" s="30"/>
    </row>
    <row r="1782" spans="1:16" s="1" customFormat="1">
      <c r="A1782" s="28"/>
      <c r="B1782" s="29" t="s">
        <v>24</v>
      </c>
      <c r="C1782" s="24">
        <f t="shared" si="708"/>
        <v>483513.53</v>
      </c>
      <c r="D1782" s="30">
        <f>418970.98+1511.17</f>
        <v>420482.14999999997</v>
      </c>
      <c r="E1782" s="30">
        <f>483513.53</f>
        <v>483513.53</v>
      </c>
      <c r="F1782" s="30"/>
      <c r="G1782" s="30"/>
      <c r="H1782" s="31"/>
      <c r="I1782" s="31"/>
      <c r="J1782" s="31"/>
      <c r="K1782" s="31"/>
      <c r="L1782" s="24">
        <f t="shared" si="709"/>
        <v>0</v>
      </c>
      <c r="M1782" s="30">
        <f>418970.98+1511.17</f>
        <v>420482.14999999997</v>
      </c>
      <c r="N1782" s="30"/>
      <c r="O1782" s="30"/>
      <c r="P1782" s="30"/>
    </row>
    <row r="1783" spans="1:16" s="1" customFormat="1">
      <c r="A1783" s="28"/>
      <c r="B1783" s="34" t="s">
        <v>25</v>
      </c>
      <c r="C1783" s="24">
        <f t="shared" si="708"/>
        <v>28275.25</v>
      </c>
      <c r="D1783" s="30"/>
      <c r="E1783" s="30">
        <v>28275.25</v>
      </c>
      <c r="F1783" s="30"/>
      <c r="G1783" s="30"/>
      <c r="H1783" s="31"/>
      <c r="I1783" s="31"/>
      <c r="J1783" s="31"/>
      <c r="K1783" s="31"/>
      <c r="L1783" s="24">
        <f t="shared" si="709"/>
        <v>0</v>
      </c>
      <c r="M1783" s="30"/>
      <c r="N1783" s="30"/>
      <c r="O1783" s="30"/>
      <c r="P1783" s="30"/>
    </row>
    <row r="1784" spans="1:16" s="1" customFormat="1">
      <c r="A1784" s="28"/>
      <c r="B1784" s="32" t="s">
        <v>26</v>
      </c>
      <c r="C1784" s="24">
        <f t="shared" si="708"/>
        <v>0</v>
      </c>
      <c r="D1784" s="30"/>
      <c r="E1784" s="30"/>
      <c r="F1784" s="30"/>
      <c r="G1784" s="30"/>
      <c r="H1784" s="31"/>
      <c r="I1784" s="31"/>
      <c r="J1784" s="31"/>
      <c r="K1784" s="31"/>
      <c r="L1784" s="24">
        <f t="shared" si="709"/>
        <v>0</v>
      </c>
      <c r="M1784" s="30"/>
      <c r="N1784" s="30"/>
      <c r="O1784" s="30"/>
      <c r="P1784" s="30"/>
    </row>
    <row r="1785" spans="1:16" s="1" customFormat="1" ht="30">
      <c r="A1785" s="28"/>
      <c r="B1785" s="35" t="s">
        <v>27</v>
      </c>
      <c r="C1785" s="36">
        <f t="shared" ref="C1785:G1785" si="710">SUM(C1786:C1789)</f>
        <v>35664.33</v>
      </c>
      <c r="D1785" s="36">
        <f t="shared" si="710"/>
        <v>2043.33</v>
      </c>
      <c r="E1785" s="36">
        <f t="shared" si="710"/>
        <v>35664.33</v>
      </c>
      <c r="F1785" s="36">
        <f t="shared" si="710"/>
        <v>0</v>
      </c>
      <c r="G1785" s="36">
        <f t="shared" si="710"/>
        <v>0</v>
      </c>
      <c r="H1785" s="31"/>
      <c r="I1785" s="31"/>
      <c r="J1785" s="31"/>
      <c r="K1785" s="31"/>
      <c r="L1785" s="36">
        <f t="shared" ref="L1785:P1785" si="711">SUM(L1786:L1789)</f>
        <v>0</v>
      </c>
      <c r="M1785" s="36">
        <f t="shared" si="711"/>
        <v>2043.33</v>
      </c>
      <c r="N1785" s="36">
        <f t="shared" si="711"/>
        <v>0</v>
      </c>
      <c r="O1785" s="36">
        <f t="shared" si="711"/>
        <v>0</v>
      </c>
      <c r="P1785" s="36">
        <f t="shared" si="711"/>
        <v>0</v>
      </c>
    </row>
    <row r="1786" spans="1:16" s="1" customFormat="1">
      <c r="A1786" s="28"/>
      <c r="B1786" s="38" t="s">
        <v>28</v>
      </c>
      <c r="C1786" s="24">
        <f t="shared" ref="C1786:C1796" si="712">E1786+F1786+G1786</f>
        <v>33114.89</v>
      </c>
      <c r="D1786" s="30"/>
      <c r="E1786" s="30">
        <v>33114.89</v>
      </c>
      <c r="F1786" s="30"/>
      <c r="G1786" s="30"/>
      <c r="H1786" s="31"/>
      <c r="I1786" s="31"/>
      <c r="J1786" s="31"/>
      <c r="K1786" s="31"/>
      <c r="L1786" s="24">
        <f t="shared" ref="L1786:L1796" si="713">N1786+O1786+P1786</f>
        <v>0</v>
      </c>
      <c r="M1786" s="30"/>
      <c r="N1786" s="30"/>
      <c r="O1786" s="30"/>
      <c r="P1786" s="30"/>
    </row>
    <row r="1787" spans="1:16" s="1" customFormat="1">
      <c r="A1787" s="28"/>
      <c r="B1787" s="38" t="s">
        <v>29</v>
      </c>
      <c r="C1787" s="24">
        <f t="shared" si="712"/>
        <v>0</v>
      </c>
      <c r="D1787" s="30"/>
      <c r="E1787" s="30"/>
      <c r="F1787" s="30"/>
      <c r="G1787" s="30"/>
      <c r="H1787" s="31"/>
      <c r="I1787" s="31"/>
      <c r="J1787" s="31"/>
      <c r="K1787" s="31"/>
      <c r="L1787" s="24">
        <f t="shared" si="713"/>
        <v>0</v>
      </c>
      <c r="M1787" s="30"/>
      <c r="N1787" s="30"/>
      <c r="O1787" s="30"/>
      <c r="P1787" s="30"/>
    </row>
    <row r="1788" spans="1:16" s="1" customFormat="1">
      <c r="A1788" s="28"/>
      <c r="B1788" s="38" t="s">
        <v>30</v>
      </c>
      <c r="C1788" s="24">
        <f t="shared" si="712"/>
        <v>0</v>
      </c>
      <c r="D1788" s="30">
        <v>2043.33</v>
      </c>
      <c r="E1788" s="30"/>
      <c r="F1788" s="30"/>
      <c r="G1788" s="30"/>
      <c r="H1788" s="31"/>
      <c r="I1788" s="31"/>
      <c r="J1788" s="31"/>
      <c r="K1788" s="31"/>
      <c r="L1788" s="24">
        <f t="shared" si="713"/>
        <v>0</v>
      </c>
      <c r="M1788" s="30">
        <v>2043.33</v>
      </c>
      <c r="N1788" s="30"/>
      <c r="O1788" s="30"/>
      <c r="P1788" s="30"/>
    </row>
    <row r="1789" spans="1:16" s="1" customFormat="1">
      <c r="A1789" s="28"/>
      <c r="B1789" s="38" t="s">
        <v>31</v>
      </c>
      <c r="C1789" s="24">
        <f t="shared" si="712"/>
        <v>2549.44</v>
      </c>
      <c r="D1789" s="30"/>
      <c r="E1789" s="30">
        <v>2549.44</v>
      </c>
      <c r="F1789" s="30"/>
      <c r="G1789" s="30"/>
      <c r="H1789" s="31"/>
      <c r="I1789" s="31"/>
      <c r="J1789" s="31"/>
      <c r="K1789" s="31"/>
      <c r="L1789" s="24">
        <f t="shared" si="713"/>
        <v>0</v>
      </c>
      <c r="M1789" s="30"/>
      <c r="N1789" s="30"/>
      <c r="O1789" s="30"/>
      <c r="P1789" s="30"/>
    </row>
    <row r="1790" spans="1:16" s="1" customFormat="1" ht="30">
      <c r="A1790" s="28"/>
      <c r="B1790" s="39" t="s">
        <v>32</v>
      </c>
      <c r="C1790" s="24">
        <f t="shared" si="712"/>
        <v>0</v>
      </c>
      <c r="D1790" s="30"/>
      <c r="E1790" s="30"/>
      <c r="F1790" s="30"/>
      <c r="G1790" s="30"/>
      <c r="H1790" s="31"/>
      <c r="I1790" s="31"/>
      <c r="J1790" s="31"/>
      <c r="K1790" s="31"/>
      <c r="L1790" s="24">
        <f t="shared" si="713"/>
        <v>0</v>
      </c>
      <c r="M1790" s="30"/>
      <c r="N1790" s="30"/>
      <c r="O1790" s="30"/>
      <c r="P1790" s="30"/>
    </row>
    <row r="1791" spans="1:16" s="1" customFormat="1" ht="30">
      <c r="A1791" s="28"/>
      <c r="B1791" s="39" t="s">
        <v>33</v>
      </c>
      <c r="C1791" s="24">
        <f t="shared" si="712"/>
        <v>45288.429999999993</v>
      </c>
      <c r="D1791" s="30">
        <v>360458.49</v>
      </c>
      <c r="E1791" s="30">
        <f>14454.31+19652.92+11181.2</f>
        <v>45288.429999999993</v>
      </c>
      <c r="F1791" s="30"/>
      <c r="G1791" s="30"/>
      <c r="H1791" s="31"/>
      <c r="I1791" s="31"/>
      <c r="J1791" s="31"/>
      <c r="K1791" s="31"/>
      <c r="L1791" s="24">
        <f t="shared" si="713"/>
        <v>0</v>
      </c>
      <c r="M1791" s="30">
        <v>360458.49</v>
      </c>
      <c r="N1791" s="30"/>
      <c r="O1791" s="30"/>
      <c r="P1791" s="30"/>
    </row>
    <row r="1792" spans="1:16" s="1" customFormat="1" ht="30">
      <c r="A1792" s="28"/>
      <c r="B1792" s="40" t="s">
        <v>34</v>
      </c>
      <c r="C1792" s="24">
        <f t="shared" si="712"/>
        <v>0</v>
      </c>
      <c r="D1792" s="30"/>
      <c r="E1792" s="30"/>
      <c r="F1792" s="30"/>
      <c r="G1792" s="30"/>
      <c r="H1792" s="31"/>
      <c r="I1792" s="31"/>
      <c r="J1792" s="31"/>
      <c r="K1792" s="31"/>
      <c r="L1792" s="24">
        <f t="shared" si="713"/>
        <v>0</v>
      </c>
      <c r="M1792" s="30"/>
      <c r="N1792" s="30"/>
      <c r="O1792" s="30"/>
      <c r="P1792" s="30"/>
    </row>
    <row r="1793" spans="1:16" s="1" customFormat="1">
      <c r="A1793" s="28"/>
      <c r="B1793" s="40" t="s">
        <v>35</v>
      </c>
      <c r="C1793" s="24">
        <f t="shared" si="712"/>
        <v>8400</v>
      </c>
      <c r="D1793" s="30">
        <f>75000+877</f>
        <v>75877</v>
      </c>
      <c r="E1793" s="30">
        <f>8400</f>
        <v>8400</v>
      </c>
      <c r="F1793" s="30"/>
      <c r="G1793" s="30"/>
      <c r="H1793" s="31"/>
      <c r="I1793" s="31"/>
      <c r="J1793" s="31"/>
      <c r="K1793" s="31"/>
      <c r="L1793" s="24">
        <f t="shared" si="713"/>
        <v>0</v>
      </c>
      <c r="M1793" s="30">
        <f>75000+877</f>
        <v>75877</v>
      </c>
      <c r="N1793" s="30"/>
      <c r="O1793" s="30"/>
      <c r="P1793" s="30"/>
    </row>
    <row r="1794" spans="1:16" s="1" customFormat="1" ht="30">
      <c r="A1794" s="28"/>
      <c r="B1794" s="41" t="s">
        <v>36</v>
      </c>
      <c r="C1794" s="24">
        <f t="shared" si="712"/>
        <v>0</v>
      </c>
      <c r="D1794" s="30"/>
      <c r="E1794" s="30"/>
      <c r="F1794" s="30"/>
      <c r="G1794" s="30"/>
      <c r="H1794" s="31"/>
      <c r="I1794" s="31"/>
      <c r="J1794" s="31"/>
      <c r="K1794" s="31"/>
      <c r="L1794" s="24">
        <f t="shared" si="713"/>
        <v>0</v>
      </c>
      <c r="M1794" s="30"/>
      <c r="N1794" s="30"/>
      <c r="O1794" s="30"/>
      <c r="P1794" s="30"/>
    </row>
    <row r="1795" spans="1:16" s="1" customFormat="1">
      <c r="A1795" s="28"/>
      <c r="B1795" s="42" t="s">
        <v>37</v>
      </c>
      <c r="C1795" s="24">
        <f t="shared" si="712"/>
        <v>56639.32</v>
      </c>
      <c r="D1795" s="30"/>
      <c r="E1795" s="30">
        <v>56639.32</v>
      </c>
      <c r="F1795" s="30"/>
      <c r="G1795" s="30"/>
      <c r="H1795" s="31"/>
      <c r="I1795" s="31"/>
      <c r="J1795" s="31"/>
      <c r="K1795" s="31"/>
      <c r="L1795" s="24">
        <f t="shared" si="713"/>
        <v>0</v>
      </c>
      <c r="M1795" s="30"/>
      <c r="N1795" s="30"/>
      <c r="O1795" s="30"/>
      <c r="P1795" s="30"/>
    </row>
    <row r="1796" spans="1:16" s="1" customFormat="1" ht="30">
      <c r="A1796" s="28"/>
      <c r="B1796" s="42" t="s">
        <v>38</v>
      </c>
      <c r="C1796" s="24">
        <f t="shared" si="712"/>
        <v>38.700000000000003</v>
      </c>
      <c r="D1796" s="30"/>
      <c r="E1796" s="30">
        <v>38.700000000000003</v>
      </c>
      <c r="F1796" s="30"/>
      <c r="G1796" s="30"/>
      <c r="H1796" s="31"/>
      <c r="I1796" s="31"/>
      <c r="J1796" s="31"/>
      <c r="K1796" s="31"/>
      <c r="L1796" s="24">
        <f t="shared" si="713"/>
        <v>0</v>
      </c>
      <c r="M1796" s="30"/>
      <c r="N1796" s="30"/>
      <c r="O1796" s="30"/>
      <c r="P1796" s="30"/>
    </row>
    <row r="1797" spans="1:16" s="1" customFormat="1" ht="30">
      <c r="A1797" s="28"/>
      <c r="B1797" s="43" t="s">
        <v>39</v>
      </c>
      <c r="C1797" s="36">
        <f t="shared" ref="C1797:G1797" si="714">SUM(C1798:C1804)</f>
        <v>0</v>
      </c>
      <c r="D1797" s="36">
        <f t="shared" si="714"/>
        <v>0.54</v>
      </c>
      <c r="E1797" s="36">
        <f t="shared" si="714"/>
        <v>0</v>
      </c>
      <c r="F1797" s="36">
        <f t="shared" si="714"/>
        <v>0</v>
      </c>
      <c r="G1797" s="36">
        <f t="shared" si="714"/>
        <v>0</v>
      </c>
      <c r="H1797" s="31"/>
      <c r="I1797" s="31"/>
      <c r="J1797" s="31"/>
      <c r="K1797" s="31"/>
      <c r="L1797" s="36">
        <f t="shared" ref="L1797:P1797" si="715">SUM(L1798:L1804)</f>
        <v>0</v>
      </c>
      <c r="M1797" s="36">
        <f t="shared" si="715"/>
        <v>0.54</v>
      </c>
      <c r="N1797" s="36">
        <f t="shared" si="715"/>
        <v>0</v>
      </c>
      <c r="O1797" s="36">
        <f t="shared" si="715"/>
        <v>0</v>
      </c>
      <c r="P1797" s="36">
        <f t="shared" si="715"/>
        <v>0</v>
      </c>
    </row>
    <row r="1798" spans="1:16" s="1" customFormat="1" ht="30">
      <c r="A1798" s="28" t="s">
        <v>40</v>
      </c>
      <c r="B1798" s="39" t="s">
        <v>41</v>
      </c>
      <c r="C1798" s="24">
        <f t="shared" ref="C1798:C1804" si="716">E1798+F1798+G1798</f>
        <v>0</v>
      </c>
      <c r="D1798" s="30"/>
      <c r="E1798" s="30"/>
      <c r="F1798" s="30"/>
      <c r="G1798" s="30"/>
      <c r="H1798" s="31"/>
      <c r="I1798" s="31"/>
      <c r="J1798" s="31"/>
      <c r="K1798" s="31"/>
      <c r="L1798" s="24">
        <f t="shared" ref="L1798:L1804" si="717">N1798+O1798+P1798</f>
        <v>0</v>
      </c>
      <c r="M1798" s="30"/>
      <c r="N1798" s="30"/>
      <c r="O1798" s="30"/>
      <c r="P1798" s="30"/>
    </row>
    <row r="1799" spans="1:16" s="1" customFormat="1">
      <c r="A1799" s="28"/>
      <c r="B1799" s="39" t="s">
        <v>42</v>
      </c>
      <c r="C1799" s="24">
        <f t="shared" si="716"/>
        <v>0</v>
      </c>
      <c r="D1799" s="30"/>
      <c r="E1799" s="30"/>
      <c r="F1799" s="30"/>
      <c r="G1799" s="30"/>
      <c r="H1799" s="31"/>
      <c r="I1799" s="31"/>
      <c r="J1799" s="31"/>
      <c r="K1799" s="31"/>
      <c r="L1799" s="24">
        <f t="shared" si="717"/>
        <v>0</v>
      </c>
      <c r="M1799" s="30"/>
      <c r="N1799" s="30"/>
      <c r="O1799" s="30"/>
      <c r="P1799" s="30"/>
    </row>
    <row r="1800" spans="1:16" s="1" customFormat="1">
      <c r="A1800" s="28"/>
      <c r="B1800" s="39" t="s">
        <v>43</v>
      </c>
      <c r="C1800" s="24">
        <f t="shared" si="716"/>
        <v>0</v>
      </c>
      <c r="D1800" s="30"/>
      <c r="E1800" s="30"/>
      <c r="F1800" s="30"/>
      <c r="G1800" s="30"/>
      <c r="H1800" s="31"/>
      <c r="I1800" s="31"/>
      <c r="J1800" s="31"/>
      <c r="K1800" s="31"/>
      <c r="L1800" s="24">
        <f t="shared" si="717"/>
        <v>0</v>
      </c>
      <c r="M1800" s="30"/>
      <c r="N1800" s="30"/>
      <c r="O1800" s="30"/>
      <c r="P1800" s="30"/>
    </row>
    <row r="1801" spans="1:16" s="1" customFormat="1">
      <c r="A1801" s="28"/>
      <c r="B1801" s="39" t="s">
        <v>44</v>
      </c>
      <c r="C1801" s="24">
        <f t="shared" si="716"/>
        <v>0</v>
      </c>
      <c r="D1801" s="30"/>
      <c r="E1801" s="30"/>
      <c r="F1801" s="30"/>
      <c r="G1801" s="30"/>
      <c r="H1801" s="31"/>
      <c r="I1801" s="31"/>
      <c r="J1801" s="31"/>
      <c r="K1801" s="31"/>
      <c r="L1801" s="24">
        <f t="shared" si="717"/>
        <v>0</v>
      </c>
      <c r="M1801" s="30"/>
      <c r="N1801" s="30"/>
      <c r="O1801" s="30"/>
      <c r="P1801" s="30"/>
    </row>
    <row r="1802" spans="1:16" s="1" customFormat="1">
      <c r="A1802" s="28"/>
      <c r="B1802" s="39" t="s">
        <v>45</v>
      </c>
      <c r="C1802" s="24">
        <f t="shared" si="716"/>
        <v>0</v>
      </c>
      <c r="D1802" s="30"/>
      <c r="E1802" s="30"/>
      <c r="F1802" s="30"/>
      <c r="G1802" s="30"/>
      <c r="H1802" s="31"/>
      <c r="I1802" s="31"/>
      <c r="J1802" s="31"/>
      <c r="K1802" s="31"/>
      <c r="L1802" s="24">
        <f t="shared" si="717"/>
        <v>0</v>
      </c>
      <c r="M1802" s="30"/>
      <c r="N1802" s="30"/>
      <c r="O1802" s="30"/>
      <c r="P1802" s="30"/>
    </row>
    <row r="1803" spans="1:16" s="1" customFormat="1" ht="30">
      <c r="A1803" s="28"/>
      <c r="B1803" s="39" t="s">
        <v>46</v>
      </c>
      <c r="C1803" s="24">
        <f t="shared" si="716"/>
        <v>0</v>
      </c>
      <c r="D1803" s="30"/>
      <c r="E1803" s="30"/>
      <c r="F1803" s="30"/>
      <c r="G1803" s="30"/>
      <c r="H1803" s="31"/>
      <c r="I1803" s="31"/>
      <c r="J1803" s="31"/>
      <c r="K1803" s="31"/>
      <c r="L1803" s="24">
        <f t="shared" si="717"/>
        <v>0</v>
      </c>
      <c r="M1803" s="30"/>
      <c r="N1803" s="30"/>
      <c r="O1803" s="30"/>
      <c r="P1803" s="30"/>
    </row>
    <row r="1804" spans="1:16" s="1" customFormat="1">
      <c r="A1804" s="28"/>
      <c r="B1804" s="39" t="s">
        <v>47</v>
      </c>
      <c r="C1804" s="24">
        <f t="shared" si="716"/>
        <v>0</v>
      </c>
      <c r="D1804" s="30">
        <v>0.54</v>
      </c>
      <c r="E1804" s="30"/>
      <c r="F1804" s="30"/>
      <c r="G1804" s="30"/>
      <c r="H1804" s="31"/>
      <c r="I1804" s="31"/>
      <c r="J1804" s="31"/>
      <c r="K1804" s="31"/>
      <c r="L1804" s="24">
        <f t="shared" si="717"/>
        <v>0</v>
      </c>
      <c r="M1804" s="30">
        <v>0.54</v>
      </c>
      <c r="N1804" s="30"/>
      <c r="O1804" s="30"/>
      <c r="P1804" s="30"/>
    </row>
    <row r="1805" spans="1:16" s="1" customFormat="1" ht="36.75" customHeight="1">
      <c r="A1805" s="211" t="s">
        <v>3</v>
      </c>
      <c r="B1805" s="213" t="s">
        <v>4</v>
      </c>
      <c r="C1805" s="213" t="s">
        <v>5</v>
      </c>
      <c r="D1805" s="10" t="s">
        <v>6</v>
      </c>
      <c r="E1805" s="215" t="s">
        <v>7</v>
      </c>
      <c r="F1805" s="216"/>
      <c r="G1805" s="217"/>
      <c r="H1805" s="218" t="s">
        <v>8</v>
      </c>
      <c r="I1805" s="218"/>
      <c r="J1805" s="218"/>
      <c r="K1805" s="11"/>
      <c r="L1805" s="219" t="s">
        <v>9</v>
      </c>
      <c r="M1805" s="12" t="s">
        <v>6</v>
      </c>
      <c r="N1805" s="208" t="s">
        <v>10</v>
      </c>
      <c r="O1805" s="209"/>
      <c r="P1805" s="210"/>
    </row>
    <row r="1806" spans="1:16" s="1" customFormat="1" ht="47.25" customHeight="1">
      <c r="A1806" s="212"/>
      <c r="B1806" s="214"/>
      <c r="C1806" s="214"/>
      <c r="D1806" s="13" t="s">
        <v>11</v>
      </c>
      <c r="E1806" s="13" t="s">
        <v>12</v>
      </c>
      <c r="F1806" s="13" t="s">
        <v>13</v>
      </c>
      <c r="G1806" s="13" t="s">
        <v>14</v>
      </c>
      <c r="H1806" s="14" t="s">
        <v>15</v>
      </c>
      <c r="I1806" s="14" t="s">
        <v>16</v>
      </c>
      <c r="J1806" s="14" t="s">
        <v>17</v>
      </c>
      <c r="K1806" s="14" t="s">
        <v>18</v>
      </c>
      <c r="L1806" s="220"/>
      <c r="M1806" s="15" t="s">
        <v>11</v>
      </c>
      <c r="N1806" s="15" t="s">
        <v>12</v>
      </c>
      <c r="O1806" s="15" t="s">
        <v>13</v>
      </c>
      <c r="P1806" s="15" t="s">
        <v>14</v>
      </c>
    </row>
    <row r="1807" spans="1:16" s="1" customFormat="1">
      <c r="A1807" s="135">
        <v>1</v>
      </c>
      <c r="B1807" s="139" t="s">
        <v>99</v>
      </c>
      <c r="C1807" s="136">
        <f t="shared" ref="C1807:G1807" si="718">C1808+C1809+C1810+C1811+C1812+C1813+C1814+C1815+C1820+C1821+C1822+C1823+C1824+C1825+C1826+C1827</f>
        <v>0</v>
      </c>
      <c r="D1807" s="136">
        <f t="shared" si="718"/>
        <v>0</v>
      </c>
      <c r="E1807" s="136">
        <f t="shared" si="718"/>
        <v>0</v>
      </c>
      <c r="F1807" s="136">
        <f t="shared" si="718"/>
        <v>0</v>
      </c>
      <c r="G1807" s="136">
        <f t="shared" si="718"/>
        <v>0</v>
      </c>
      <c r="H1807" s="137"/>
      <c r="I1807" s="138"/>
      <c r="J1807" s="138"/>
      <c r="K1807" s="133"/>
      <c r="L1807" s="136">
        <f t="shared" ref="L1807:P1807" si="719">L1808+L1809+L1810+L1811+L1812+L1813+L1814+L1815+L1820+L1821+L1822+L1823+L1824+L1825+L1826+L1827</f>
        <v>0</v>
      </c>
      <c r="M1807" s="136">
        <f t="shared" si="719"/>
        <v>0</v>
      </c>
      <c r="N1807" s="136">
        <f t="shared" si="719"/>
        <v>0</v>
      </c>
      <c r="O1807" s="136">
        <f t="shared" si="719"/>
        <v>0</v>
      </c>
      <c r="P1807" s="136">
        <f t="shared" si="719"/>
        <v>0</v>
      </c>
    </row>
    <row r="1808" spans="1:16" s="5" customFormat="1">
      <c r="A1808" s="22"/>
      <c r="B1808" s="23" t="s">
        <v>20</v>
      </c>
      <c r="C1808" s="24">
        <f t="shared" ref="C1808:C1814" si="720">E1808+F1808+G1808</f>
        <v>0</v>
      </c>
      <c r="D1808" s="25"/>
      <c r="E1808" s="25"/>
      <c r="F1808" s="25"/>
      <c r="G1808" s="25"/>
      <c r="H1808" s="60"/>
      <c r="I1808" s="61"/>
      <c r="J1808" s="61"/>
      <c r="K1808" s="27"/>
      <c r="L1808" s="24">
        <f t="shared" ref="L1808:L1814" si="721">N1808+O1808+P1808</f>
        <v>0</v>
      </c>
      <c r="M1808" s="25"/>
      <c r="N1808" s="25"/>
      <c r="O1808" s="25"/>
      <c r="P1808" s="25"/>
    </row>
    <row r="1809" spans="1:16" s="1" customFormat="1">
      <c r="A1809" s="28"/>
      <c r="B1809" s="29" t="s">
        <v>21</v>
      </c>
      <c r="C1809" s="24">
        <f t="shared" si="720"/>
        <v>0</v>
      </c>
      <c r="D1809" s="30"/>
      <c r="E1809" s="30"/>
      <c r="F1809" s="30"/>
      <c r="G1809" s="30"/>
      <c r="H1809" s="31"/>
      <c r="I1809" s="31"/>
      <c r="J1809" s="31"/>
      <c r="K1809" s="31"/>
      <c r="L1809" s="24">
        <f t="shared" si="721"/>
        <v>0</v>
      </c>
      <c r="M1809" s="30"/>
      <c r="N1809" s="30"/>
      <c r="O1809" s="30"/>
      <c r="P1809" s="30"/>
    </row>
    <row r="1810" spans="1:16" s="1" customFormat="1">
      <c r="A1810" s="28"/>
      <c r="B1810" s="32" t="s">
        <v>22</v>
      </c>
      <c r="C1810" s="24">
        <f t="shared" si="720"/>
        <v>0</v>
      </c>
      <c r="D1810" s="30"/>
      <c r="E1810" s="30"/>
      <c r="F1810" s="30"/>
      <c r="G1810" s="30"/>
      <c r="H1810" s="31"/>
      <c r="I1810" s="31"/>
      <c r="J1810" s="31"/>
      <c r="K1810" s="31"/>
      <c r="L1810" s="24">
        <f t="shared" si="721"/>
        <v>0</v>
      </c>
      <c r="M1810" s="30"/>
      <c r="N1810" s="30"/>
      <c r="O1810" s="30"/>
      <c r="P1810" s="30"/>
    </row>
    <row r="1811" spans="1:16" s="1" customFormat="1">
      <c r="A1811" s="28"/>
      <c r="B1811" s="32" t="s">
        <v>23</v>
      </c>
      <c r="C1811" s="24">
        <f t="shared" si="720"/>
        <v>0</v>
      </c>
      <c r="D1811" s="30"/>
      <c r="E1811" s="30"/>
      <c r="F1811" s="30"/>
      <c r="G1811" s="30"/>
      <c r="H1811" s="31"/>
      <c r="I1811" s="31"/>
      <c r="J1811" s="31"/>
      <c r="K1811" s="31"/>
      <c r="L1811" s="24">
        <f t="shared" si="721"/>
        <v>0</v>
      </c>
      <c r="M1811" s="30"/>
      <c r="N1811" s="30"/>
      <c r="O1811" s="30"/>
      <c r="P1811" s="30"/>
    </row>
    <row r="1812" spans="1:16" s="1" customFormat="1">
      <c r="A1812" s="28"/>
      <c r="B1812" s="29" t="s">
        <v>24</v>
      </c>
      <c r="C1812" s="24">
        <f t="shared" si="720"/>
        <v>0</v>
      </c>
      <c r="D1812" s="30"/>
      <c r="E1812" s="30"/>
      <c r="F1812" s="30"/>
      <c r="G1812" s="30"/>
      <c r="H1812" s="31"/>
      <c r="I1812" s="31"/>
      <c r="J1812" s="31"/>
      <c r="K1812" s="31"/>
      <c r="L1812" s="24">
        <f t="shared" si="721"/>
        <v>0</v>
      </c>
      <c r="M1812" s="30"/>
      <c r="N1812" s="30"/>
      <c r="O1812" s="30"/>
      <c r="P1812" s="30"/>
    </row>
    <row r="1813" spans="1:16" s="1" customFormat="1">
      <c r="A1813" s="28"/>
      <c r="B1813" s="34" t="s">
        <v>25</v>
      </c>
      <c r="C1813" s="24">
        <f t="shared" si="720"/>
        <v>0</v>
      </c>
      <c r="D1813" s="30"/>
      <c r="E1813" s="30"/>
      <c r="F1813" s="30"/>
      <c r="G1813" s="30"/>
      <c r="H1813" s="31"/>
      <c r="I1813" s="31"/>
      <c r="J1813" s="31"/>
      <c r="K1813" s="31"/>
      <c r="L1813" s="24">
        <f t="shared" si="721"/>
        <v>0</v>
      </c>
      <c r="M1813" s="30"/>
      <c r="N1813" s="30"/>
      <c r="O1813" s="30"/>
      <c r="P1813" s="30"/>
    </row>
    <row r="1814" spans="1:16" s="1" customFormat="1">
      <c r="A1814" s="28"/>
      <c r="B1814" s="32" t="s">
        <v>26</v>
      </c>
      <c r="C1814" s="24">
        <f t="shared" si="720"/>
        <v>0</v>
      </c>
      <c r="D1814" s="30"/>
      <c r="E1814" s="30"/>
      <c r="F1814" s="30"/>
      <c r="G1814" s="30"/>
      <c r="H1814" s="31"/>
      <c r="I1814" s="31"/>
      <c r="J1814" s="31"/>
      <c r="K1814" s="31"/>
      <c r="L1814" s="24">
        <f t="shared" si="721"/>
        <v>0</v>
      </c>
      <c r="M1814" s="30"/>
      <c r="N1814" s="30"/>
      <c r="O1814" s="30"/>
      <c r="P1814" s="30"/>
    </row>
    <row r="1815" spans="1:16" s="1" customFormat="1" ht="30">
      <c r="A1815" s="28"/>
      <c r="B1815" s="35" t="s">
        <v>27</v>
      </c>
      <c r="C1815" s="36">
        <f t="shared" ref="C1815:G1815" si="722">SUM(C1816:C1819)</f>
        <v>0</v>
      </c>
      <c r="D1815" s="36">
        <f t="shared" si="722"/>
        <v>0</v>
      </c>
      <c r="E1815" s="36">
        <f t="shared" si="722"/>
        <v>0</v>
      </c>
      <c r="F1815" s="36">
        <f t="shared" si="722"/>
        <v>0</v>
      </c>
      <c r="G1815" s="36">
        <f t="shared" si="722"/>
        <v>0</v>
      </c>
      <c r="H1815" s="31"/>
      <c r="I1815" s="31"/>
      <c r="J1815" s="31"/>
      <c r="K1815" s="31"/>
      <c r="L1815" s="36">
        <f t="shared" ref="L1815:P1815" si="723">SUM(L1816:L1819)</f>
        <v>0</v>
      </c>
      <c r="M1815" s="36">
        <f t="shared" si="723"/>
        <v>0</v>
      </c>
      <c r="N1815" s="36">
        <f t="shared" si="723"/>
        <v>0</v>
      </c>
      <c r="O1815" s="36">
        <f t="shared" si="723"/>
        <v>0</v>
      </c>
      <c r="P1815" s="36">
        <f t="shared" si="723"/>
        <v>0</v>
      </c>
    </row>
    <row r="1816" spans="1:16" s="1" customFormat="1">
      <c r="A1816" s="28"/>
      <c r="B1816" s="38" t="s">
        <v>28</v>
      </c>
      <c r="C1816" s="24">
        <f t="shared" ref="C1816:C1826" si="724">E1816+F1816+G1816</f>
        <v>0</v>
      </c>
      <c r="D1816" s="30"/>
      <c r="E1816" s="30"/>
      <c r="F1816" s="30"/>
      <c r="G1816" s="30"/>
      <c r="H1816" s="31"/>
      <c r="I1816" s="31"/>
      <c r="J1816" s="31"/>
      <c r="K1816" s="31"/>
      <c r="L1816" s="24">
        <f t="shared" ref="L1816:L1826" si="725">N1816+O1816+P1816</f>
        <v>0</v>
      </c>
      <c r="M1816" s="30"/>
      <c r="N1816" s="30"/>
      <c r="O1816" s="30"/>
      <c r="P1816" s="30"/>
    </row>
    <row r="1817" spans="1:16" s="1" customFormat="1">
      <c r="A1817" s="28"/>
      <c r="B1817" s="38" t="s">
        <v>29</v>
      </c>
      <c r="C1817" s="24">
        <f t="shared" si="724"/>
        <v>0</v>
      </c>
      <c r="D1817" s="30"/>
      <c r="E1817" s="30"/>
      <c r="F1817" s="30"/>
      <c r="G1817" s="30"/>
      <c r="H1817" s="31"/>
      <c r="I1817" s="31"/>
      <c r="J1817" s="31"/>
      <c r="K1817" s="31"/>
      <c r="L1817" s="24">
        <f t="shared" si="725"/>
        <v>0</v>
      </c>
      <c r="M1817" s="30"/>
      <c r="N1817" s="30"/>
      <c r="O1817" s="30"/>
      <c r="P1817" s="30"/>
    </row>
    <row r="1818" spans="1:16" s="1" customFormat="1">
      <c r="A1818" s="28"/>
      <c r="B1818" s="38" t="s">
        <v>30</v>
      </c>
      <c r="C1818" s="24">
        <f t="shared" si="724"/>
        <v>0</v>
      </c>
      <c r="D1818" s="30"/>
      <c r="E1818" s="30"/>
      <c r="F1818" s="30"/>
      <c r="G1818" s="30"/>
      <c r="H1818" s="31"/>
      <c r="I1818" s="31"/>
      <c r="J1818" s="31"/>
      <c r="K1818" s="31"/>
      <c r="L1818" s="24">
        <f t="shared" si="725"/>
        <v>0</v>
      </c>
      <c r="M1818" s="30"/>
      <c r="N1818" s="30"/>
      <c r="O1818" s="30"/>
      <c r="P1818" s="30"/>
    </row>
    <row r="1819" spans="1:16" s="1" customFormat="1">
      <c r="A1819" s="28"/>
      <c r="B1819" s="38" t="s">
        <v>31</v>
      </c>
      <c r="C1819" s="24">
        <f t="shared" si="724"/>
        <v>0</v>
      </c>
      <c r="D1819" s="30"/>
      <c r="E1819" s="30"/>
      <c r="F1819" s="30"/>
      <c r="G1819" s="30"/>
      <c r="H1819" s="31"/>
      <c r="I1819" s="31"/>
      <c r="J1819" s="31"/>
      <c r="K1819" s="31"/>
      <c r="L1819" s="24">
        <f t="shared" si="725"/>
        <v>0</v>
      </c>
      <c r="M1819" s="30"/>
      <c r="N1819" s="30"/>
      <c r="O1819" s="30"/>
      <c r="P1819" s="30"/>
    </row>
    <row r="1820" spans="1:16" s="1" customFormat="1" ht="30">
      <c r="A1820" s="28"/>
      <c r="B1820" s="39" t="s">
        <v>32</v>
      </c>
      <c r="C1820" s="24">
        <f t="shared" si="724"/>
        <v>0</v>
      </c>
      <c r="D1820" s="30"/>
      <c r="E1820" s="30"/>
      <c r="F1820" s="30"/>
      <c r="G1820" s="30"/>
      <c r="H1820" s="31"/>
      <c r="I1820" s="31"/>
      <c r="J1820" s="31"/>
      <c r="K1820" s="31"/>
      <c r="L1820" s="24">
        <f t="shared" si="725"/>
        <v>0</v>
      </c>
      <c r="M1820" s="30"/>
      <c r="N1820" s="30"/>
      <c r="O1820" s="30"/>
      <c r="P1820" s="30"/>
    </row>
    <row r="1821" spans="1:16" s="1" customFormat="1" ht="30">
      <c r="A1821" s="28"/>
      <c r="B1821" s="39" t="s">
        <v>33</v>
      </c>
      <c r="C1821" s="24">
        <f t="shared" si="724"/>
        <v>0</v>
      </c>
      <c r="D1821" s="30"/>
      <c r="E1821" s="30"/>
      <c r="F1821" s="30"/>
      <c r="G1821" s="30"/>
      <c r="H1821" s="31"/>
      <c r="I1821" s="31"/>
      <c r="J1821" s="31"/>
      <c r="K1821" s="31"/>
      <c r="L1821" s="24">
        <f t="shared" si="725"/>
        <v>0</v>
      </c>
      <c r="M1821" s="30"/>
      <c r="N1821" s="30"/>
      <c r="O1821" s="30"/>
      <c r="P1821" s="30"/>
    </row>
    <row r="1822" spans="1:16" s="1" customFormat="1" ht="30">
      <c r="A1822" s="28"/>
      <c r="B1822" s="40" t="s">
        <v>34</v>
      </c>
      <c r="C1822" s="24">
        <f t="shared" si="724"/>
        <v>0</v>
      </c>
      <c r="D1822" s="30"/>
      <c r="E1822" s="30"/>
      <c r="F1822" s="30"/>
      <c r="G1822" s="30"/>
      <c r="H1822" s="31"/>
      <c r="I1822" s="31"/>
      <c r="J1822" s="31"/>
      <c r="K1822" s="31"/>
      <c r="L1822" s="24">
        <f t="shared" si="725"/>
        <v>0</v>
      </c>
      <c r="M1822" s="30"/>
      <c r="N1822" s="30"/>
      <c r="O1822" s="30"/>
      <c r="P1822" s="30"/>
    </row>
    <row r="1823" spans="1:16" s="1" customFormat="1">
      <c r="A1823" s="28"/>
      <c r="B1823" s="40" t="s">
        <v>35</v>
      </c>
      <c r="C1823" s="24">
        <f t="shared" si="724"/>
        <v>0</v>
      </c>
      <c r="D1823" s="30"/>
      <c r="E1823" s="30"/>
      <c r="F1823" s="30"/>
      <c r="G1823" s="30"/>
      <c r="H1823" s="31"/>
      <c r="I1823" s="31"/>
      <c r="J1823" s="31"/>
      <c r="K1823" s="31"/>
      <c r="L1823" s="24">
        <f t="shared" si="725"/>
        <v>0</v>
      </c>
      <c r="M1823" s="30"/>
      <c r="N1823" s="30"/>
      <c r="O1823" s="30"/>
      <c r="P1823" s="30"/>
    </row>
    <row r="1824" spans="1:16" s="1" customFormat="1" ht="30">
      <c r="A1824" s="28"/>
      <c r="B1824" s="41" t="s">
        <v>36</v>
      </c>
      <c r="C1824" s="24">
        <f t="shared" si="724"/>
        <v>0</v>
      </c>
      <c r="D1824" s="30"/>
      <c r="E1824" s="30"/>
      <c r="F1824" s="30"/>
      <c r="G1824" s="30"/>
      <c r="H1824" s="31"/>
      <c r="I1824" s="31"/>
      <c r="J1824" s="31"/>
      <c r="K1824" s="31"/>
      <c r="L1824" s="24">
        <f t="shared" si="725"/>
        <v>0</v>
      </c>
      <c r="M1824" s="30"/>
      <c r="N1824" s="30"/>
      <c r="O1824" s="30"/>
      <c r="P1824" s="30"/>
    </row>
    <row r="1825" spans="1:16" s="1" customFormat="1">
      <c r="A1825" s="28"/>
      <c r="B1825" s="42" t="s">
        <v>37</v>
      </c>
      <c r="C1825" s="24">
        <f t="shared" si="724"/>
        <v>0</v>
      </c>
      <c r="D1825" s="30"/>
      <c r="E1825" s="30"/>
      <c r="F1825" s="30"/>
      <c r="G1825" s="30"/>
      <c r="H1825" s="31"/>
      <c r="I1825" s="31"/>
      <c r="J1825" s="31"/>
      <c r="K1825" s="31"/>
      <c r="L1825" s="24">
        <f t="shared" si="725"/>
        <v>0</v>
      </c>
      <c r="M1825" s="30"/>
      <c r="N1825" s="30"/>
      <c r="O1825" s="30"/>
      <c r="P1825" s="30"/>
    </row>
    <row r="1826" spans="1:16" s="1" customFormat="1" ht="30">
      <c r="A1826" s="28"/>
      <c r="B1826" s="42" t="s">
        <v>38</v>
      </c>
      <c r="C1826" s="24">
        <f t="shared" si="724"/>
        <v>0</v>
      </c>
      <c r="D1826" s="30"/>
      <c r="E1826" s="30"/>
      <c r="F1826" s="30"/>
      <c r="G1826" s="30"/>
      <c r="H1826" s="31"/>
      <c r="I1826" s="31"/>
      <c r="J1826" s="31"/>
      <c r="K1826" s="31"/>
      <c r="L1826" s="24">
        <f t="shared" si="725"/>
        <v>0</v>
      </c>
      <c r="M1826" s="30"/>
      <c r="N1826" s="30"/>
      <c r="O1826" s="30"/>
      <c r="P1826" s="30"/>
    </row>
    <row r="1827" spans="1:16" s="1" customFormat="1" ht="30">
      <c r="A1827" s="28"/>
      <c r="B1827" s="43" t="s">
        <v>39</v>
      </c>
      <c r="C1827" s="36">
        <f t="shared" ref="C1827:G1827" si="726">SUM(C1828:C1834)</f>
        <v>0</v>
      </c>
      <c r="D1827" s="36">
        <f t="shared" si="726"/>
        <v>0</v>
      </c>
      <c r="E1827" s="36">
        <f t="shared" si="726"/>
        <v>0</v>
      </c>
      <c r="F1827" s="36">
        <f t="shared" si="726"/>
        <v>0</v>
      </c>
      <c r="G1827" s="36">
        <f t="shared" si="726"/>
        <v>0</v>
      </c>
      <c r="H1827" s="31"/>
      <c r="I1827" s="31"/>
      <c r="J1827" s="31"/>
      <c r="K1827" s="31"/>
      <c r="L1827" s="36">
        <f t="shared" ref="L1827:P1827" si="727">SUM(L1828:L1834)</f>
        <v>0</v>
      </c>
      <c r="M1827" s="36">
        <f t="shared" si="727"/>
        <v>0</v>
      </c>
      <c r="N1827" s="36">
        <f t="shared" si="727"/>
        <v>0</v>
      </c>
      <c r="O1827" s="36">
        <f t="shared" si="727"/>
        <v>0</v>
      </c>
      <c r="P1827" s="36">
        <f t="shared" si="727"/>
        <v>0</v>
      </c>
    </row>
    <row r="1828" spans="1:16" s="1" customFormat="1" ht="30">
      <c r="A1828" s="28" t="s">
        <v>40</v>
      </c>
      <c r="B1828" s="39" t="s">
        <v>41</v>
      </c>
      <c r="C1828" s="24">
        <f t="shared" ref="C1828:C1834" si="728">E1828+F1828+G1828</f>
        <v>0</v>
      </c>
      <c r="D1828" s="30"/>
      <c r="E1828" s="30"/>
      <c r="F1828" s="30"/>
      <c r="G1828" s="30"/>
      <c r="H1828" s="31"/>
      <c r="I1828" s="31"/>
      <c r="J1828" s="31"/>
      <c r="K1828" s="31"/>
      <c r="L1828" s="24">
        <f t="shared" ref="L1828:L1834" si="729">N1828+O1828+P1828</f>
        <v>0</v>
      </c>
      <c r="M1828" s="30"/>
      <c r="N1828" s="30"/>
      <c r="O1828" s="30"/>
      <c r="P1828" s="30"/>
    </row>
    <row r="1829" spans="1:16" s="1" customFormat="1">
      <c r="A1829" s="28"/>
      <c r="B1829" s="39" t="s">
        <v>42</v>
      </c>
      <c r="C1829" s="24">
        <f t="shared" si="728"/>
        <v>0</v>
      </c>
      <c r="D1829" s="30"/>
      <c r="E1829" s="30"/>
      <c r="F1829" s="30"/>
      <c r="G1829" s="30"/>
      <c r="H1829" s="31"/>
      <c r="I1829" s="31"/>
      <c r="J1829" s="31"/>
      <c r="K1829" s="31"/>
      <c r="L1829" s="24">
        <f t="shared" si="729"/>
        <v>0</v>
      </c>
      <c r="M1829" s="30"/>
      <c r="N1829" s="30"/>
      <c r="O1829" s="30"/>
      <c r="P1829" s="30"/>
    </row>
    <row r="1830" spans="1:16" s="1" customFormat="1">
      <c r="A1830" s="28"/>
      <c r="B1830" s="39" t="s">
        <v>43</v>
      </c>
      <c r="C1830" s="24">
        <f t="shared" si="728"/>
        <v>0</v>
      </c>
      <c r="D1830" s="30"/>
      <c r="E1830" s="30"/>
      <c r="F1830" s="30"/>
      <c r="G1830" s="30"/>
      <c r="H1830" s="31"/>
      <c r="I1830" s="31"/>
      <c r="J1830" s="31"/>
      <c r="K1830" s="31"/>
      <c r="L1830" s="24">
        <f t="shared" si="729"/>
        <v>0</v>
      </c>
      <c r="M1830" s="30"/>
      <c r="N1830" s="30"/>
      <c r="O1830" s="30"/>
      <c r="P1830" s="30"/>
    </row>
    <row r="1831" spans="1:16" s="1" customFormat="1">
      <c r="A1831" s="28"/>
      <c r="B1831" s="39" t="s">
        <v>44</v>
      </c>
      <c r="C1831" s="24">
        <f t="shared" si="728"/>
        <v>0</v>
      </c>
      <c r="D1831" s="30"/>
      <c r="E1831" s="30"/>
      <c r="F1831" s="30"/>
      <c r="G1831" s="30"/>
      <c r="H1831" s="31"/>
      <c r="I1831" s="31"/>
      <c r="J1831" s="31"/>
      <c r="K1831" s="31"/>
      <c r="L1831" s="24">
        <f t="shared" si="729"/>
        <v>0</v>
      </c>
      <c r="M1831" s="30"/>
      <c r="N1831" s="30"/>
      <c r="O1831" s="30"/>
      <c r="P1831" s="30"/>
    </row>
    <row r="1832" spans="1:16" s="1" customFormat="1">
      <c r="A1832" s="28"/>
      <c r="B1832" s="39" t="s">
        <v>45</v>
      </c>
      <c r="C1832" s="24">
        <f t="shared" si="728"/>
        <v>0</v>
      </c>
      <c r="D1832" s="30"/>
      <c r="E1832" s="30"/>
      <c r="F1832" s="30"/>
      <c r="G1832" s="30"/>
      <c r="H1832" s="31"/>
      <c r="I1832" s="31"/>
      <c r="J1832" s="31"/>
      <c r="K1832" s="31"/>
      <c r="L1832" s="24">
        <f t="shared" si="729"/>
        <v>0</v>
      </c>
      <c r="M1832" s="30"/>
      <c r="N1832" s="30"/>
      <c r="O1832" s="30"/>
      <c r="P1832" s="30"/>
    </row>
    <row r="1833" spans="1:16" s="1" customFormat="1" ht="30">
      <c r="A1833" s="28"/>
      <c r="B1833" s="39" t="s">
        <v>46</v>
      </c>
      <c r="C1833" s="24">
        <f t="shared" si="728"/>
        <v>0</v>
      </c>
      <c r="D1833" s="30"/>
      <c r="E1833" s="30"/>
      <c r="F1833" s="30"/>
      <c r="G1833" s="30"/>
      <c r="H1833" s="31"/>
      <c r="I1833" s="31"/>
      <c r="J1833" s="31"/>
      <c r="K1833" s="31"/>
      <c r="L1833" s="24">
        <f t="shared" si="729"/>
        <v>0</v>
      </c>
      <c r="M1833" s="30"/>
      <c r="N1833" s="30"/>
      <c r="O1833" s="30"/>
      <c r="P1833" s="30"/>
    </row>
    <row r="1834" spans="1:16" s="1" customFormat="1">
      <c r="A1834" s="28"/>
      <c r="B1834" s="39" t="s">
        <v>47</v>
      </c>
      <c r="C1834" s="24">
        <f t="shared" si="728"/>
        <v>0</v>
      </c>
      <c r="D1834" s="30"/>
      <c r="E1834" s="30"/>
      <c r="F1834" s="30"/>
      <c r="G1834" s="30"/>
      <c r="H1834" s="31"/>
      <c r="I1834" s="31"/>
      <c r="J1834" s="31"/>
      <c r="K1834" s="31"/>
      <c r="L1834" s="24">
        <f t="shared" si="729"/>
        <v>0</v>
      </c>
      <c r="M1834" s="30"/>
      <c r="N1834" s="30"/>
      <c r="O1834" s="30"/>
      <c r="P1834" s="30"/>
    </row>
    <row r="1835" spans="1:16" s="1" customFormat="1" ht="36.75" customHeight="1">
      <c r="A1835" s="211" t="s">
        <v>3</v>
      </c>
      <c r="B1835" s="213" t="s">
        <v>4</v>
      </c>
      <c r="C1835" s="213" t="s">
        <v>5</v>
      </c>
      <c r="D1835" s="10" t="s">
        <v>6</v>
      </c>
      <c r="E1835" s="215" t="s">
        <v>7</v>
      </c>
      <c r="F1835" s="216"/>
      <c r="G1835" s="217"/>
      <c r="H1835" s="218" t="s">
        <v>8</v>
      </c>
      <c r="I1835" s="218"/>
      <c r="J1835" s="218"/>
      <c r="K1835" s="11"/>
      <c r="L1835" s="219" t="s">
        <v>9</v>
      </c>
      <c r="M1835" s="12" t="s">
        <v>6</v>
      </c>
      <c r="N1835" s="208" t="s">
        <v>10</v>
      </c>
      <c r="O1835" s="209"/>
      <c r="P1835" s="210"/>
    </row>
    <row r="1836" spans="1:16" s="1" customFormat="1" ht="47.25" customHeight="1">
      <c r="A1836" s="212"/>
      <c r="B1836" s="214"/>
      <c r="C1836" s="214"/>
      <c r="D1836" s="13" t="s">
        <v>11</v>
      </c>
      <c r="E1836" s="13" t="s">
        <v>12</v>
      </c>
      <c r="F1836" s="13" t="s">
        <v>13</v>
      </c>
      <c r="G1836" s="13" t="s">
        <v>14</v>
      </c>
      <c r="H1836" s="14" t="s">
        <v>15</v>
      </c>
      <c r="I1836" s="14" t="s">
        <v>16</v>
      </c>
      <c r="J1836" s="14" t="s">
        <v>17</v>
      </c>
      <c r="K1836" s="14" t="s">
        <v>18</v>
      </c>
      <c r="L1836" s="220"/>
      <c r="M1836" s="15" t="s">
        <v>11</v>
      </c>
      <c r="N1836" s="15" t="s">
        <v>12</v>
      </c>
      <c r="O1836" s="15" t="s">
        <v>13</v>
      </c>
      <c r="P1836" s="15" t="s">
        <v>14</v>
      </c>
    </row>
    <row r="1837" spans="1:16" s="1" customFormat="1">
      <c r="A1837" s="140">
        <v>1</v>
      </c>
      <c r="B1837" s="141" t="s">
        <v>99</v>
      </c>
      <c r="C1837" s="136">
        <f t="shared" ref="C1837:G1837" si="730">C1838+C1839+C1840+C1841+C1842+C1843+C1844+C1845+C1850+C1851+C1852+C1853+C1854+C1855+C1856+C1857</f>
        <v>0</v>
      </c>
      <c r="D1837" s="142">
        <f t="shared" si="730"/>
        <v>0</v>
      </c>
      <c r="E1837" s="136">
        <f t="shared" si="730"/>
        <v>0</v>
      </c>
      <c r="F1837" s="136">
        <f t="shared" si="730"/>
        <v>0</v>
      </c>
      <c r="G1837" s="136">
        <f t="shared" si="730"/>
        <v>0</v>
      </c>
      <c r="H1837" s="137"/>
      <c r="I1837" s="138"/>
      <c r="J1837" s="138"/>
      <c r="K1837" s="133"/>
      <c r="L1837" s="136">
        <f t="shared" ref="L1837:P1837" si="731">L1838+L1839+L1840+L1841+L1842+L1843+L1844+L1845+L1850+L1851+L1852+L1853+L1854+L1855+L1856+L1857</f>
        <v>0</v>
      </c>
      <c r="M1837" s="142">
        <f t="shared" si="731"/>
        <v>0</v>
      </c>
      <c r="N1837" s="136">
        <f t="shared" si="731"/>
        <v>0</v>
      </c>
      <c r="O1837" s="136">
        <f t="shared" si="731"/>
        <v>0</v>
      </c>
      <c r="P1837" s="136">
        <f t="shared" si="731"/>
        <v>0</v>
      </c>
    </row>
    <row r="1838" spans="1:16" s="5" customFormat="1">
      <c r="A1838" s="22"/>
      <c r="B1838" s="23" t="s">
        <v>20</v>
      </c>
      <c r="C1838" s="24">
        <f t="shared" ref="C1838:C1844" si="732">E1838+F1838+G1838</f>
        <v>0</v>
      </c>
      <c r="D1838" s="25"/>
      <c r="E1838" s="25"/>
      <c r="F1838" s="25"/>
      <c r="G1838" s="25"/>
      <c r="H1838" s="60"/>
      <c r="I1838" s="61"/>
      <c r="J1838" s="61"/>
      <c r="K1838" s="27"/>
      <c r="L1838" s="24">
        <f t="shared" ref="L1838:L1844" si="733">N1838+O1838+P1838</f>
        <v>0</v>
      </c>
      <c r="M1838" s="25"/>
      <c r="N1838" s="25"/>
      <c r="O1838" s="25"/>
      <c r="P1838" s="25"/>
    </row>
    <row r="1839" spans="1:16" s="1" customFormat="1">
      <c r="A1839" s="28"/>
      <c r="B1839" s="29" t="s">
        <v>21</v>
      </c>
      <c r="C1839" s="24">
        <f t="shared" si="732"/>
        <v>0</v>
      </c>
      <c r="D1839" s="30"/>
      <c r="E1839" s="30"/>
      <c r="F1839" s="30"/>
      <c r="G1839" s="30"/>
      <c r="H1839" s="31"/>
      <c r="I1839" s="31"/>
      <c r="J1839" s="31"/>
      <c r="K1839" s="31"/>
      <c r="L1839" s="24">
        <f t="shared" si="733"/>
        <v>0</v>
      </c>
      <c r="M1839" s="30"/>
      <c r="N1839" s="30"/>
      <c r="O1839" s="30"/>
      <c r="P1839" s="30"/>
    </row>
    <row r="1840" spans="1:16" s="1" customFormat="1">
      <c r="A1840" s="28"/>
      <c r="B1840" s="32" t="s">
        <v>22</v>
      </c>
      <c r="C1840" s="24">
        <f t="shared" si="732"/>
        <v>0</v>
      </c>
      <c r="D1840" s="30"/>
      <c r="E1840" s="30"/>
      <c r="F1840" s="30"/>
      <c r="G1840" s="30"/>
      <c r="H1840" s="31"/>
      <c r="I1840" s="31"/>
      <c r="J1840" s="31"/>
      <c r="K1840" s="31"/>
      <c r="L1840" s="24">
        <f t="shared" si="733"/>
        <v>0</v>
      </c>
      <c r="M1840" s="30"/>
      <c r="N1840" s="30"/>
      <c r="O1840" s="30"/>
      <c r="P1840" s="30"/>
    </row>
    <row r="1841" spans="1:16" s="1" customFormat="1">
      <c r="A1841" s="28"/>
      <c r="B1841" s="32" t="s">
        <v>23</v>
      </c>
      <c r="C1841" s="24">
        <f t="shared" si="732"/>
        <v>0</v>
      </c>
      <c r="D1841" s="30"/>
      <c r="E1841" s="30"/>
      <c r="F1841" s="30"/>
      <c r="G1841" s="30"/>
      <c r="H1841" s="31"/>
      <c r="I1841" s="31"/>
      <c r="J1841" s="31"/>
      <c r="K1841" s="31"/>
      <c r="L1841" s="24">
        <f t="shared" si="733"/>
        <v>0</v>
      </c>
      <c r="M1841" s="30"/>
      <c r="N1841" s="30"/>
      <c r="O1841" s="30"/>
      <c r="P1841" s="30"/>
    </row>
    <row r="1842" spans="1:16" s="1" customFormat="1">
      <c r="A1842" s="28"/>
      <c r="B1842" s="29" t="s">
        <v>24</v>
      </c>
      <c r="C1842" s="24">
        <f t="shared" si="732"/>
        <v>0</v>
      </c>
      <c r="D1842" s="30"/>
      <c r="E1842" s="30"/>
      <c r="F1842" s="30"/>
      <c r="G1842" s="30"/>
      <c r="H1842" s="31"/>
      <c r="I1842" s="31"/>
      <c r="J1842" s="31"/>
      <c r="K1842" s="31"/>
      <c r="L1842" s="24">
        <f t="shared" si="733"/>
        <v>0</v>
      </c>
      <c r="M1842" s="30"/>
      <c r="N1842" s="30"/>
      <c r="O1842" s="30"/>
      <c r="P1842" s="30"/>
    </row>
    <row r="1843" spans="1:16" s="1" customFormat="1">
      <c r="A1843" s="28"/>
      <c r="B1843" s="34" t="s">
        <v>25</v>
      </c>
      <c r="C1843" s="24">
        <f t="shared" si="732"/>
        <v>0</v>
      </c>
      <c r="D1843" s="30"/>
      <c r="E1843" s="30"/>
      <c r="F1843" s="30"/>
      <c r="G1843" s="30"/>
      <c r="H1843" s="31"/>
      <c r="I1843" s="31"/>
      <c r="J1843" s="31"/>
      <c r="K1843" s="31"/>
      <c r="L1843" s="24">
        <f t="shared" si="733"/>
        <v>0</v>
      </c>
      <c r="M1843" s="30"/>
      <c r="N1843" s="30"/>
      <c r="O1843" s="30"/>
      <c r="P1843" s="30"/>
    </row>
    <row r="1844" spans="1:16" s="1" customFormat="1">
      <c r="A1844" s="28"/>
      <c r="B1844" s="32" t="s">
        <v>26</v>
      </c>
      <c r="C1844" s="24">
        <f t="shared" si="732"/>
        <v>0</v>
      </c>
      <c r="D1844" s="30"/>
      <c r="E1844" s="30"/>
      <c r="F1844" s="30"/>
      <c r="G1844" s="30"/>
      <c r="H1844" s="31"/>
      <c r="I1844" s="31"/>
      <c r="J1844" s="31"/>
      <c r="K1844" s="31"/>
      <c r="L1844" s="24">
        <f t="shared" si="733"/>
        <v>0</v>
      </c>
      <c r="M1844" s="30"/>
      <c r="N1844" s="30"/>
      <c r="O1844" s="30"/>
      <c r="P1844" s="30"/>
    </row>
    <row r="1845" spans="1:16" s="1" customFormat="1" ht="30">
      <c r="A1845" s="28"/>
      <c r="B1845" s="35" t="s">
        <v>27</v>
      </c>
      <c r="C1845" s="36">
        <f t="shared" ref="C1845:G1845" si="734">SUM(C1846:C1849)</f>
        <v>0</v>
      </c>
      <c r="D1845" s="36">
        <f t="shared" si="734"/>
        <v>0</v>
      </c>
      <c r="E1845" s="36">
        <f t="shared" si="734"/>
        <v>0</v>
      </c>
      <c r="F1845" s="36">
        <f t="shared" si="734"/>
        <v>0</v>
      </c>
      <c r="G1845" s="36">
        <f t="shared" si="734"/>
        <v>0</v>
      </c>
      <c r="H1845" s="31"/>
      <c r="I1845" s="31"/>
      <c r="J1845" s="31"/>
      <c r="K1845" s="31"/>
      <c r="L1845" s="36">
        <f t="shared" ref="L1845:P1845" si="735">SUM(L1846:L1849)</f>
        <v>0</v>
      </c>
      <c r="M1845" s="36">
        <f t="shared" si="735"/>
        <v>0</v>
      </c>
      <c r="N1845" s="36">
        <f t="shared" si="735"/>
        <v>0</v>
      </c>
      <c r="O1845" s="36">
        <f t="shared" si="735"/>
        <v>0</v>
      </c>
      <c r="P1845" s="36">
        <f t="shared" si="735"/>
        <v>0</v>
      </c>
    </row>
    <row r="1846" spans="1:16" s="1" customFormat="1">
      <c r="A1846" s="28"/>
      <c r="B1846" s="38" t="s">
        <v>28</v>
      </c>
      <c r="C1846" s="24">
        <f t="shared" ref="C1846:C1856" si="736">E1846+F1846+G1846</f>
        <v>0</v>
      </c>
      <c r="D1846" s="30"/>
      <c r="E1846" s="30"/>
      <c r="F1846" s="30"/>
      <c r="G1846" s="30"/>
      <c r="H1846" s="31"/>
      <c r="I1846" s="31"/>
      <c r="J1846" s="31"/>
      <c r="K1846" s="31"/>
      <c r="L1846" s="24">
        <f t="shared" ref="L1846:L1856" si="737">N1846+O1846+P1846</f>
        <v>0</v>
      </c>
      <c r="M1846" s="30"/>
      <c r="N1846" s="30"/>
      <c r="O1846" s="30"/>
      <c r="P1846" s="30"/>
    </row>
    <row r="1847" spans="1:16" s="1" customFormat="1">
      <c r="A1847" s="28"/>
      <c r="B1847" s="38" t="s">
        <v>29</v>
      </c>
      <c r="C1847" s="24">
        <f t="shared" si="736"/>
        <v>0</v>
      </c>
      <c r="D1847" s="30"/>
      <c r="E1847" s="30"/>
      <c r="F1847" s="30"/>
      <c r="G1847" s="30"/>
      <c r="H1847" s="31"/>
      <c r="I1847" s="31"/>
      <c r="J1847" s="31"/>
      <c r="K1847" s="31"/>
      <c r="L1847" s="24">
        <f t="shared" si="737"/>
        <v>0</v>
      </c>
      <c r="M1847" s="30"/>
      <c r="N1847" s="30"/>
      <c r="O1847" s="30"/>
      <c r="P1847" s="30"/>
    </row>
    <row r="1848" spans="1:16" s="1" customFormat="1">
      <c r="A1848" s="28"/>
      <c r="B1848" s="38" t="s">
        <v>30</v>
      </c>
      <c r="C1848" s="24">
        <f t="shared" si="736"/>
        <v>0</v>
      </c>
      <c r="D1848" s="30"/>
      <c r="E1848" s="30"/>
      <c r="F1848" s="30"/>
      <c r="G1848" s="30"/>
      <c r="H1848" s="31"/>
      <c r="I1848" s="31"/>
      <c r="J1848" s="31"/>
      <c r="K1848" s="31"/>
      <c r="L1848" s="24">
        <f t="shared" si="737"/>
        <v>0</v>
      </c>
      <c r="M1848" s="30"/>
      <c r="N1848" s="30"/>
      <c r="O1848" s="30"/>
      <c r="P1848" s="30"/>
    </row>
    <row r="1849" spans="1:16" s="1" customFormat="1">
      <c r="A1849" s="28"/>
      <c r="B1849" s="38" t="s">
        <v>31</v>
      </c>
      <c r="C1849" s="24">
        <f t="shared" si="736"/>
        <v>0</v>
      </c>
      <c r="D1849" s="30"/>
      <c r="E1849" s="30"/>
      <c r="F1849" s="30"/>
      <c r="G1849" s="30"/>
      <c r="H1849" s="31"/>
      <c r="I1849" s="31"/>
      <c r="J1849" s="31"/>
      <c r="K1849" s="31"/>
      <c r="L1849" s="24">
        <f t="shared" si="737"/>
        <v>0</v>
      </c>
      <c r="M1849" s="30"/>
      <c r="N1849" s="30"/>
      <c r="O1849" s="30"/>
      <c r="P1849" s="30"/>
    </row>
    <row r="1850" spans="1:16" s="1" customFormat="1" ht="30">
      <c r="A1850" s="28"/>
      <c r="B1850" s="39" t="s">
        <v>32</v>
      </c>
      <c r="C1850" s="24">
        <f t="shared" si="736"/>
        <v>0</v>
      </c>
      <c r="D1850" s="30"/>
      <c r="E1850" s="30"/>
      <c r="F1850" s="30"/>
      <c r="G1850" s="30"/>
      <c r="H1850" s="31"/>
      <c r="I1850" s="31"/>
      <c r="J1850" s="31"/>
      <c r="K1850" s="31"/>
      <c r="L1850" s="24">
        <f t="shared" si="737"/>
        <v>0</v>
      </c>
      <c r="M1850" s="30"/>
      <c r="N1850" s="30"/>
      <c r="O1850" s="30"/>
      <c r="P1850" s="30"/>
    </row>
    <row r="1851" spans="1:16" s="1" customFormat="1" ht="30">
      <c r="A1851" s="28"/>
      <c r="B1851" s="39" t="s">
        <v>33</v>
      </c>
      <c r="C1851" s="24">
        <f t="shared" si="736"/>
        <v>0</v>
      </c>
      <c r="D1851" s="30"/>
      <c r="E1851" s="30"/>
      <c r="F1851" s="30"/>
      <c r="G1851" s="30"/>
      <c r="H1851" s="31"/>
      <c r="I1851" s="31"/>
      <c r="J1851" s="31"/>
      <c r="K1851" s="31"/>
      <c r="L1851" s="24">
        <f t="shared" si="737"/>
        <v>0</v>
      </c>
      <c r="M1851" s="30"/>
      <c r="N1851" s="30"/>
      <c r="O1851" s="30"/>
      <c r="P1851" s="30"/>
    </row>
    <row r="1852" spans="1:16" s="1" customFormat="1" ht="30">
      <c r="A1852" s="28"/>
      <c r="B1852" s="40" t="s">
        <v>34</v>
      </c>
      <c r="C1852" s="24">
        <f t="shared" si="736"/>
        <v>0</v>
      </c>
      <c r="D1852" s="30"/>
      <c r="E1852" s="30"/>
      <c r="F1852" s="30"/>
      <c r="G1852" s="30"/>
      <c r="H1852" s="31"/>
      <c r="I1852" s="31"/>
      <c r="J1852" s="31"/>
      <c r="K1852" s="31"/>
      <c r="L1852" s="24">
        <f t="shared" si="737"/>
        <v>0</v>
      </c>
      <c r="M1852" s="30"/>
      <c r="N1852" s="30"/>
      <c r="O1852" s="30"/>
      <c r="P1852" s="30"/>
    </row>
    <row r="1853" spans="1:16" s="1" customFormat="1">
      <c r="A1853" s="28"/>
      <c r="B1853" s="40" t="s">
        <v>35</v>
      </c>
      <c r="C1853" s="24">
        <f t="shared" si="736"/>
        <v>0</v>
      </c>
      <c r="D1853" s="30"/>
      <c r="E1853" s="30"/>
      <c r="F1853" s="30"/>
      <c r="G1853" s="30"/>
      <c r="H1853" s="31"/>
      <c r="I1853" s="31"/>
      <c r="J1853" s="31"/>
      <c r="K1853" s="31"/>
      <c r="L1853" s="24">
        <f t="shared" si="737"/>
        <v>0</v>
      </c>
      <c r="M1853" s="30"/>
      <c r="N1853" s="30"/>
      <c r="O1853" s="30"/>
      <c r="P1853" s="30"/>
    </row>
    <row r="1854" spans="1:16" s="1" customFormat="1" ht="30">
      <c r="A1854" s="28"/>
      <c r="B1854" s="41" t="s">
        <v>36</v>
      </c>
      <c r="C1854" s="24">
        <f t="shared" si="736"/>
        <v>0</v>
      </c>
      <c r="D1854" s="30"/>
      <c r="E1854" s="30"/>
      <c r="F1854" s="30"/>
      <c r="G1854" s="30"/>
      <c r="H1854" s="31"/>
      <c r="I1854" s="31"/>
      <c r="J1854" s="31"/>
      <c r="K1854" s="31"/>
      <c r="L1854" s="24">
        <f t="shared" si="737"/>
        <v>0</v>
      </c>
      <c r="M1854" s="30"/>
      <c r="N1854" s="30"/>
      <c r="O1854" s="30"/>
      <c r="P1854" s="30"/>
    </row>
    <row r="1855" spans="1:16" s="1" customFormat="1">
      <c r="A1855" s="28"/>
      <c r="B1855" s="42" t="s">
        <v>37</v>
      </c>
      <c r="C1855" s="24">
        <f t="shared" si="736"/>
        <v>0</v>
      </c>
      <c r="D1855" s="30"/>
      <c r="E1855" s="30"/>
      <c r="F1855" s="30"/>
      <c r="G1855" s="30"/>
      <c r="H1855" s="31"/>
      <c r="I1855" s="31"/>
      <c r="J1855" s="31"/>
      <c r="K1855" s="31"/>
      <c r="L1855" s="24">
        <f t="shared" si="737"/>
        <v>0</v>
      </c>
      <c r="M1855" s="30"/>
      <c r="N1855" s="30"/>
      <c r="O1855" s="30"/>
      <c r="P1855" s="30"/>
    </row>
    <row r="1856" spans="1:16" s="1" customFormat="1" ht="30">
      <c r="A1856" s="28"/>
      <c r="B1856" s="42" t="s">
        <v>38</v>
      </c>
      <c r="C1856" s="24">
        <f t="shared" si="736"/>
        <v>0</v>
      </c>
      <c r="D1856" s="30"/>
      <c r="E1856" s="30"/>
      <c r="F1856" s="30"/>
      <c r="G1856" s="30"/>
      <c r="H1856" s="31"/>
      <c r="I1856" s="31"/>
      <c r="J1856" s="31"/>
      <c r="K1856" s="31"/>
      <c r="L1856" s="24">
        <f t="shared" si="737"/>
        <v>0</v>
      </c>
      <c r="M1856" s="30"/>
      <c r="N1856" s="30"/>
      <c r="O1856" s="30"/>
      <c r="P1856" s="30"/>
    </row>
    <row r="1857" spans="1:16" s="1" customFormat="1" ht="30">
      <c r="A1857" s="28"/>
      <c r="B1857" s="43" t="s">
        <v>39</v>
      </c>
      <c r="C1857" s="36">
        <f t="shared" ref="C1857:G1857" si="738">SUM(C1858:C1864)</f>
        <v>0</v>
      </c>
      <c r="D1857" s="36">
        <f t="shared" si="738"/>
        <v>0</v>
      </c>
      <c r="E1857" s="36">
        <f t="shared" si="738"/>
        <v>0</v>
      </c>
      <c r="F1857" s="36">
        <f t="shared" si="738"/>
        <v>0</v>
      </c>
      <c r="G1857" s="36">
        <f t="shared" si="738"/>
        <v>0</v>
      </c>
      <c r="H1857" s="31"/>
      <c r="I1857" s="31"/>
      <c r="J1857" s="31"/>
      <c r="K1857" s="31"/>
      <c r="L1857" s="36">
        <f t="shared" ref="L1857:P1857" si="739">SUM(L1858:L1864)</f>
        <v>0</v>
      </c>
      <c r="M1857" s="36">
        <f t="shared" si="739"/>
        <v>0</v>
      </c>
      <c r="N1857" s="36">
        <f t="shared" si="739"/>
        <v>0</v>
      </c>
      <c r="O1857" s="36">
        <f t="shared" si="739"/>
        <v>0</v>
      </c>
      <c r="P1857" s="36">
        <f t="shared" si="739"/>
        <v>0</v>
      </c>
    </row>
    <row r="1858" spans="1:16" s="1" customFormat="1" ht="30">
      <c r="A1858" s="28" t="s">
        <v>40</v>
      </c>
      <c r="B1858" s="39" t="s">
        <v>41</v>
      </c>
      <c r="C1858" s="24">
        <f t="shared" ref="C1858:C1864" si="740">E1858+F1858+G1858</f>
        <v>0</v>
      </c>
      <c r="D1858" s="30"/>
      <c r="E1858" s="30"/>
      <c r="F1858" s="30"/>
      <c r="G1858" s="30"/>
      <c r="H1858" s="31"/>
      <c r="I1858" s="31"/>
      <c r="J1858" s="31"/>
      <c r="K1858" s="31"/>
      <c r="L1858" s="24">
        <f t="shared" ref="L1858:L1864" si="741">N1858+O1858+P1858</f>
        <v>0</v>
      </c>
      <c r="M1858" s="30"/>
      <c r="N1858" s="30"/>
      <c r="O1858" s="30"/>
      <c r="P1858" s="30"/>
    </row>
    <row r="1859" spans="1:16" s="1" customFormat="1">
      <c r="A1859" s="28"/>
      <c r="B1859" s="39" t="s">
        <v>42</v>
      </c>
      <c r="C1859" s="24">
        <f t="shared" si="740"/>
        <v>0</v>
      </c>
      <c r="D1859" s="30"/>
      <c r="E1859" s="30"/>
      <c r="F1859" s="30"/>
      <c r="G1859" s="30"/>
      <c r="H1859" s="31"/>
      <c r="I1859" s="31"/>
      <c r="J1859" s="31"/>
      <c r="K1859" s="31"/>
      <c r="L1859" s="24">
        <f t="shared" si="741"/>
        <v>0</v>
      </c>
      <c r="M1859" s="30"/>
      <c r="N1859" s="30"/>
      <c r="O1859" s="30"/>
      <c r="P1859" s="30"/>
    </row>
    <row r="1860" spans="1:16" s="1" customFormat="1">
      <c r="A1860" s="28"/>
      <c r="B1860" s="39" t="s">
        <v>43</v>
      </c>
      <c r="C1860" s="24">
        <f t="shared" si="740"/>
        <v>0</v>
      </c>
      <c r="D1860" s="30"/>
      <c r="E1860" s="30"/>
      <c r="F1860" s="30"/>
      <c r="G1860" s="30"/>
      <c r="H1860" s="31"/>
      <c r="I1860" s="31"/>
      <c r="J1860" s="31"/>
      <c r="K1860" s="31"/>
      <c r="L1860" s="24">
        <f t="shared" si="741"/>
        <v>0</v>
      </c>
      <c r="M1860" s="30"/>
      <c r="N1860" s="30"/>
      <c r="O1860" s="30"/>
      <c r="P1860" s="30"/>
    </row>
    <row r="1861" spans="1:16" s="1" customFormat="1">
      <c r="A1861" s="28"/>
      <c r="B1861" s="39" t="s">
        <v>44</v>
      </c>
      <c r="C1861" s="24">
        <f t="shared" si="740"/>
        <v>0</v>
      </c>
      <c r="D1861" s="30"/>
      <c r="E1861" s="30"/>
      <c r="F1861" s="30"/>
      <c r="G1861" s="30"/>
      <c r="H1861" s="31"/>
      <c r="I1861" s="31"/>
      <c r="J1861" s="31"/>
      <c r="K1861" s="31"/>
      <c r="L1861" s="24">
        <f t="shared" si="741"/>
        <v>0</v>
      </c>
      <c r="M1861" s="30"/>
      <c r="N1861" s="30"/>
      <c r="O1861" s="30"/>
      <c r="P1861" s="30"/>
    </row>
    <row r="1862" spans="1:16" s="1" customFormat="1">
      <c r="A1862" s="28"/>
      <c r="B1862" s="39" t="s">
        <v>45</v>
      </c>
      <c r="C1862" s="24">
        <f t="shared" si="740"/>
        <v>0</v>
      </c>
      <c r="D1862" s="30"/>
      <c r="E1862" s="30"/>
      <c r="F1862" s="30"/>
      <c r="G1862" s="30"/>
      <c r="H1862" s="31"/>
      <c r="I1862" s="31"/>
      <c r="J1862" s="31"/>
      <c r="K1862" s="31"/>
      <c r="L1862" s="24">
        <f t="shared" si="741"/>
        <v>0</v>
      </c>
      <c r="M1862" s="30"/>
      <c r="N1862" s="30"/>
      <c r="O1862" s="30"/>
      <c r="P1862" s="30"/>
    </row>
    <row r="1863" spans="1:16" s="1" customFormat="1" ht="30">
      <c r="A1863" s="28"/>
      <c r="B1863" s="39" t="s">
        <v>46</v>
      </c>
      <c r="C1863" s="24">
        <f t="shared" si="740"/>
        <v>0</v>
      </c>
      <c r="D1863" s="30"/>
      <c r="E1863" s="30"/>
      <c r="F1863" s="30"/>
      <c r="G1863" s="30"/>
      <c r="H1863" s="31"/>
      <c r="I1863" s="31"/>
      <c r="J1863" s="31"/>
      <c r="K1863" s="31"/>
      <c r="L1863" s="24">
        <f t="shared" si="741"/>
        <v>0</v>
      </c>
      <c r="M1863" s="30"/>
      <c r="N1863" s="30"/>
      <c r="O1863" s="30"/>
      <c r="P1863" s="30"/>
    </row>
    <row r="1864" spans="1:16" s="1" customFormat="1">
      <c r="A1864" s="28"/>
      <c r="B1864" s="39" t="s">
        <v>47</v>
      </c>
      <c r="C1864" s="24">
        <f t="shared" si="740"/>
        <v>0</v>
      </c>
      <c r="D1864" s="30"/>
      <c r="E1864" s="30"/>
      <c r="F1864" s="30"/>
      <c r="G1864" s="30"/>
      <c r="H1864" s="31"/>
      <c r="I1864" s="31"/>
      <c r="J1864" s="31"/>
      <c r="K1864" s="31"/>
      <c r="L1864" s="24">
        <f t="shared" si="741"/>
        <v>0</v>
      </c>
      <c r="M1864" s="30"/>
      <c r="N1864" s="30"/>
      <c r="O1864" s="30"/>
      <c r="P1864" s="30"/>
    </row>
    <row r="1865" spans="1:16" s="1" customFormat="1" ht="36.75" customHeight="1">
      <c r="A1865" s="211" t="s">
        <v>3</v>
      </c>
      <c r="B1865" s="213" t="s">
        <v>4</v>
      </c>
      <c r="C1865" s="213" t="s">
        <v>5</v>
      </c>
      <c r="D1865" s="10" t="s">
        <v>6</v>
      </c>
      <c r="E1865" s="215" t="s">
        <v>7</v>
      </c>
      <c r="F1865" s="216"/>
      <c r="G1865" s="217"/>
      <c r="H1865" s="218" t="s">
        <v>8</v>
      </c>
      <c r="I1865" s="218"/>
      <c r="J1865" s="218"/>
      <c r="K1865" s="11"/>
      <c r="L1865" s="219" t="s">
        <v>9</v>
      </c>
      <c r="M1865" s="12" t="s">
        <v>6</v>
      </c>
      <c r="N1865" s="208" t="s">
        <v>10</v>
      </c>
      <c r="O1865" s="209"/>
      <c r="P1865" s="210"/>
    </row>
    <row r="1866" spans="1:16" s="1" customFormat="1" ht="47.25" customHeight="1">
      <c r="A1866" s="212"/>
      <c r="B1866" s="214"/>
      <c r="C1866" s="214"/>
      <c r="D1866" s="13" t="s">
        <v>11</v>
      </c>
      <c r="E1866" s="13" t="s">
        <v>12</v>
      </c>
      <c r="F1866" s="13" t="s">
        <v>13</v>
      </c>
      <c r="G1866" s="13" t="s">
        <v>14</v>
      </c>
      <c r="H1866" s="14" t="s">
        <v>15</v>
      </c>
      <c r="I1866" s="14" t="s">
        <v>16</v>
      </c>
      <c r="J1866" s="14" t="s">
        <v>17</v>
      </c>
      <c r="K1866" s="14" t="s">
        <v>18</v>
      </c>
      <c r="L1866" s="220"/>
      <c r="M1866" s="15" t="s">
        <v>11</v>
      </c>
      <c r="N1866" s="15" t="s">
        <v>12</v>
      </c>
      <c r="O1866" s="15" t="s">
        <v>13</v>
      </c>
      <c r="P1866" s="15" t="s">
        <v>14</v>
      </c>
    </row>
    <row r="1867" spans="1:16" s="1" customFormat="1">
      <c r="A1867" s="140">
        <v>1</v>
      </c>
      <c r="B1867" s="141" t="s">
        <v>99</v>
      </c>
      <c r="C1867" s="136">
        <f t="shared" ref="C1867:G1867" si="742">C1868+C1869+C1870+C1871+C1872+C1873+C1874+C1875+C1880+C1881+C1882+C1883+C1884+C1885+C1886+C1887</f>
        <v>0</v>
      </c>
      <c r="D1867" s="142">
        <f t="shared" si="742"/>
        <v>0</v>
      </c>
      <c r="E1867" s="136">
        <f t="shared" si="742"/>
        <v>0</v>
      </c>
      <c r="F1867" s="136">
        <f t="shared" si="742"/>
        <v>0</v>
      </c>
      <c r="G1867" s="136">
        <f t="shared" si="742"/>
        <v>0</v>
      </c>
      <c r="H1867" s="137"/>
      <c r="I1867" s="138"/>
      <c r="J1867" s="138"/>
      <c r="K1867" s="133"/>
      <c r="L1867" s="136">
        <f t="shared" ref="L1867:P1867" si="743">L1868+L1869+L1870+L1871+L1872+L1873+L1874+L1875+L1880+L1881+L1882+L1883+L1884+L1885+L1886+L1887</f>
        <v>0</v>
      </c>
      <c r="M1867" s="142">
        <f t="shared" si="743"/>
        <v>0</v>
      </c>
      <c r="N1867" s="136">
        <f t="shared" si="743"/>
        <v>0</v>
      </c>
      <c r="O1867" s="136">
        <f t="shared" si="743"/>
        <v>0</v>
      </c>
      <c r="P1867" s="136">
        <f t="shared" si="743"/>
        <v>0</v>
      </c>
    </row>
    <row r="1868" spans="1:16" s="5" customFormat="1">
      <c r="A1868" s="22"/>
      <c r="B1868" s="23" t="s">
        <v>20</v>
      </c>
      <c r="C1868" s="24">
        <f t="shared" ref="C1868:C1874" si="744">E1868+F1868+G1868</f>
        <v>0</v>
      </c>
      <c r="D1868" s="25"/>
      <c r="E1868" s="25"/>
      <c r="F1868" s="25"/>
      <c r="G1868" s="25"/>
      <c r="H1868" s="60"/>
      <c r="I1868" s="61"/>
      <c r="J1868" s="61"/>
      <c r="K1868" s="27"/>
      <c r="L1868" s="24">
        <f t="shared" ref="L1868:L1874" si="745">N1868+O1868+P1868</f>
        <v>0</v>
      </c>
      <c r="M1868" s="25"/>
      <c r="N1868" s="25"/>
      <c r="O1868" s="25"/>
      <c r="P1868" s="25"/>
    </row>
    <row r="1869" spans="1:16" s="1" customFormat="1">
      <c r="A1869" s="28"/>
      <c r="B1869" s="29" t="s">
        <v>21</v>
      </c>
      <c r="C1869" s="24">
        <f t="shared" si="744"/>
        <v>0</v>
      </c>
      <c r="D1869" s="30"/>
      <c r="E1869" s="30"/>
      <c r="F1869" s="30"/>
      <c r="G1869" s="30"/>
      <c r="H1869" s="31"/>
      <c r="I1869" s="31"/>
      <c r="J1869" s="31"/>
      <c r="K1869" s="31"/>
      <c r="L1869" s="24">
        <f t="shared" si="745"/>
        <v>0</v>
      </c>
      <c r="M1869" s="30"/>
      <c r="N1869" s="30"/>
      <c r="O1869" s="30"/>
      <c r="P1869" s="30"/>
    </row>
    <row r="1870" spans="1:16" s="1" customFormat="1">
      <c r="A1870" s="28"/>
      <c r="B1870" s="32" t="s">
        <v>22</v>
      </c>
      <c r="C1870" s="24">
        <f t="shared" si="744"/>
        <v>0</v>
      </c>
      <c r="D1870" s="30"/>
      <c r="E1870" s="30"/>
      <c r="F1870" s="30"/>
      <c r="G1870" s="30"/>
      <c r="H1870" s="31"/>
      <c r="I1870" s="31"/>
      <c r="J1870" s="31"/>
      <c r="K1870" s="31"/>
      <c r="L1870" s="24">
        <f t="shared" si="745"/>
        <v>0</v>
      </c>
      <c r="M1870" s="30"/>
      <c r="N1870" s="30"/>
      <c r="O1870" s="30"/>
      <c r="P1870" s="30"/>
    </row>
    <row r="1871" spans="1:16" s="1" customFormat="1">
      <c r="A1871" s="28"/>
      <c r="B1871" s="32" t="s">
        <v>23</v>
      </c>
      <c r="C1871" s="24">
        <f t="shared" si="744"/>
        <v>0</v>
      </c>
      <c r="D1871" s="30"/>
      <c r="E1871" s="30"/>
      <c r="F1871" s="30"/>
      <c r="G1871" s="30"/>
      <c r="H1871" s="31"/>
      <c r="I1871" s="31"/>
      <c r="J1871" s="31"/>
      <c r="K1871" s="31"/>
      <c r="L1871" s="24">
        <f t="shared" si="745"/>
        <v>0</v>
      </c>
      <c r="M1871" s="30"/>
      <c r="N1871" s="30"/>
      <c r="O1871" s="30"/>
      <c r="P1871" s="30"/>
    </row>
    <row r="1872" spans="1:16" s="1" customFormat="1">
      <c r="A1872" s="28"/>
      <c r="B1872" s="29" t="s">
        <v>24</v>
      </c>
      <c r="C1872" s="24">
        <f t="shared" si="744"/>
        <v>0</v>
      </c>
      <c r="D1872" s="30"/>
      <c r="E1872" s="30"/>
      <c r="F1872" s="30"/>
      <c r="G1872" s="30"/>
      <c r="H1872" s="31"/>
      <c r="I1872" s="31"/>
      <c r="J1872" s="31"/>
      <c r="K1872" s="31"/>
      <c r="L1872" s="24">
        <f t="shared" si="745"/>
        <v>0</v>
      </c>
      <c r="M1872" s="30"/>
      <c r="N1872" s="30"/>
      <c r="O1872" s="30"/>
      <c r="P1872" s="30"/>
    </row>
    <row r="1873" spans="1:16" s="1" customFormat="1">
      <c r="A1873" s="28"/>
      <c r="B1873" s="34" t="s">
        <v>25</v>
      </c>
      <c r="C1873" s="24">
        <f t="shared" si="744"/>
        <v>0</v>
      </c>
      <c r="D1873" s="30"/>
      <c r="E1873" s="30"/>
      <c r="F1873" s="30"/>
      <c r="G1873" s="30"/>
      <c r="H1873" s="31"/>
      <c r="I1873" s="31"/>
      <c r="J1873" s="31"/>
      <c r="K1873" s="31"/>
      <c r="L1873" s="24">
        <f t="shared" si="745"/>
        <v>0</v>
      </c>
      <c r="M1873" s="30"/>
      <c r="N1873" s="30"/>
      <c r="O1873" s="30"/>
      <c r="P1873" s="30"/>
    </row>
    <row r="1874" spans="1:16" s="1" customFormat="1">
      <c r="A1874" s="28"/>
      <c r="B1874" s="32" t="s">
        <v>26</v>
      </c>
      <c r="C1874" s="24">
        <f t="shared" si="744"/>
        <v>0</v>
      </c>
      <c r="D1874" s="30"/>
      <c r="E1874" s="30"/>
      <c r="F1874" s="30"/>
      <c r="G1874" s="30"/>
      <c r="H1874" s="31"/>
      <c r="I1874" s="31"/>
      <c r="J1874" s="31"/>
      <c r="K1874" s="31"/>
      <c r="L1874" s="24">
        <f t="shared" si="745"/>
        <v>0</v>
      </c>
      <c r="M1874" s="30"/>
      <c r="N1874" s="30"/>
      <c r="O1874" s="30"/>
      <c r="P1874" s="30"/>
    </row>
    <row r="1875" spans="1:16" s="1" customFormat="1" ht="30">
      <c r="A1875" s="28"/>
      <c r="B1875" s="35" t="s">
        <v>27</v>
      </c>
      <c r="C1875" s="36">
        <f t="shared" ref="C1875:G1875" si="746">SUM(C1876:C1879)</f>
        <v>0</v>
      </c>
      <c r="D1875" s="36">
        <f t="shared" si="746"/>
        <v>0</v>
      </c>
      <c r="E1875" s="36">
        <f t="shared" si="746"/>
        <v>0</v>
      </c>
      <c r="F1875" s="36">
        <f t="shared" si="746"/>
        <v>0</v>
      </c>
      <c r="G1875" s="36">
        <f t="shared" si="746"/>
        <v>0</v>
      </c>
      <c r="H1875" s="31"/>
      <c r="I1875" s="31"/>
      <c r="J1875" s="31"/>
      <c r="K1875" s="31"/>
      <c r="L1875" s="36">
        <f t="shared" ref="L1875:P1875" si="747">SUM(L1876:L1879)</f>
        <v>0</v>
      </c>
      <c r="M1875" s="36">
        <f t="shared" si="747"/>
        <v>0</v>
      </c>
      <c r="N1875" s="36">
        <f t="shared" si="747"/>
        <v>0</v>
      </c>
      <c r="O1875" s="36">
        <f t="shared" si="747"/>
        <v>0</v>
      </c>
      <c r="P1875" s="36">
        <f t="shared" si="747"/>
        <v>0</v>
      </c>
    </row>
    <row r="1876" spans="1:16" s="1" customFormat="1">
      <c r="A1876" s="28"/>
      <c r="B1876" s="38" t="s">
        <v>28</v>
      </c>
      <c r="C1876" s="24">
        <f t="shared" ref="C1876:C1886" si="748">E1876+F1876+G1876</f>
        <v>0</v>
      </c>
      <c r="D1876" s="30"/>
      <c r="E1876" s="30"/>
      <c r="F1876" s="30"/>
      <c r="G1876" s="30"/>
      <c r="H1876" s="31"/>
      <c r="I1876" s="31"/>
      <c r="J1876" s="31"/>
      <c r="K1876" s="31"/>
      <c r="L1876" s="24">
        <f t="shared" ref="L1876:L1886" si="749">N1876+O1876+P1876</f>
        <v>0</v>
      </c>
      <c r="M1876" s="30"/>
      <c r="N1876" s="30"/>
      <c r="O1876" s="30"/>
      <c r="P1876" s="30"/>
    </row>
    <row r="1877" spans="1:16" s="1" customFormat="1">
      <c r="A1877" s="28"/>
      <c r="B1877" s="38" t="s">
        <v>29</v>
      </c>
      <c r="C1877" s="24">
        <f t="shared" si="748"/>
        <v>0</v>
      </c>
      <c r="D1877" s="30"/>
      <c r="E1877" s="30"/>
      <c r="F1877" s="30"/>
      <c r="G1877" s="30"/>
      <c r="H1877" s="31"/>
      <c r="I1877" s="31"/>
      <c r="J1877" s="31"/>
      <c r="K1877" s="31"/>
      <c r="L1877" s="24">
        <f t="shared" si="749"/>
        <v>0</v>
      </c>
      <c r="M1877" s="30"/>
      <c r="N1877" s="30"/>
      <c r="O1877" s="30"/>
      <c r="P1877" s="30"/>
    </row>
    <row r="1878" spans="1:16" s="1" customFormat="1">
      <c r="A1878" s="28"/>
      <c r="B1878" s="38" t="s">
        <v>30</v>
      </c>
      <c r="C1878" s="24">
        <f t="shared" si="748"/>
        <v>0</v>
      </c>
      <c r="D1878" s="30"/>
      <c r="E1878" s="30"/>
      <c r="F1878" s="30"/>
      <c r="G1878" s="30"/>
      <c r="H1878" s="31"/>
      <c r="I1878" s="31"/>
      <c r="J1878" s="31"/>
      <c r="K1878" s="31"/>
      <c r="L1878" s="24">
        <f t="shared" si="749"/>
        <v>0</v>
      </c>
      <c r="M1878" s="30"/>
      <c r="N1878" s="30"/>
      <c r="O1878" s="30"/>
      <c r="P1878" s="30"/>
    </row>
    <row r="1879" spans="1:16" s="1" customFormat="1">
      <c r="A1879" s="28"/>
      <c r="B1879" s="38" t="s">
        <v>31</v>
      </c>
      <c r="C1879" s="24">
        <f t="shared" si="748"/>
        <v>0</v>
      </c>
      <c r="D1879" s="30"/>
      <c r="E1879" s="30"/>
      <c r="F1879" s="30"/>
      <c r="G1879" s="30"/>
      <c r="H1879" s="31"/>
      <c r="I1879" s="31"/>
      <c r="J1879" s="31"/>
      <c r="K1879" s="31"/>
      <c r="L1879" s="24">
        <f t="shared" si="749"/>
        <v>0</v>
      </c>
      <c r="M1879" s="30"/>
      <c r="N1879" s="30"/>
      <c r="O1879" s="30"/>
      <c r="P1879" s="30"/>
    </row>
    <row r="1880" spans="1:16" s="1" customFormat="1" ht="30">
      <c r="A1880" s="28"/>
      <c r="B1880" s="39" t="s">
        <v>32</v>
      </c>
      <c r="C1880" s="24">
        <f t="shared" si="748"/>
        <v>0</v>
      </c>
      <c r="D1880" s="30"/>
      <c r="E1880" s="30"/>
      <c r="F1880" s="30"/>
      <c r="G1880" s="30"/>
      <c r="H1880" s="31"/>
      <c r="I1880" s="31"/>
      <c r="J1880" s="31"/>
      <c r="K1880" s="31"/>
      <c r="L1880" s="24">
        <f t="shared" si="749"/>
        <v>0</v>
      </c>
      <c r="M1880" s="30"/>
      <c r="N1880" s="30"/>
      <c r="O1880" s="30"/>
      <c r="P1880" s="30"/>
    </row>
    <row r="1881" spans="1:16" s="1" customFormat="1" ht="30">
      <c r="A1881" s="28"/>
      <c r="B1881" s="39" t="s">
        <v>33</v>
      </c>
      <c r="C1881" s="24">
        <f t="shared" si="748"/>
        <v>0</v>
      </c>
      <c r="D1881" s="30"/>
      <c r="E1881" s="30"/>
      <c r="F1881" s="30"/>
      <c r="G1881" s="30"/>
      <c r="H1881" s="31"/>
      <c r="I1881" s="31"/>
      <c r="J1881" s="31"/>
      <c r="K1881" s="31"/>
      <c r="L1881" s="24">
        <f t="shared" si="749"/>
        <v>0</v>
      </c>
      <c r="M1881" s="30"/>
      <c r="N1881" s="30"/>
      <c r="O1881" s="30"/>
      <c r="P1881" s="30"/>
    </row>
    <row r="1882" spans="1:16" s="1" customFormat="1" ht="30">
      <c r="A1882" s="28"/>
      <c r="B1882" s="40" t="s">
        <v>34</v>
      </c>
      <c r="C1882" s="24">
        <f t="shared" si="748"/>
        <v>0</v>
      </c>
      <c r="D1882" s="30"/>
      <c r="E1882" s="30"/>
      <c r="F1882" s="30"/>
      <c r="G1882" s="30"/>
      <c r="H1882" s="31"/>
      <c r="I1882" s="31"/>
      <c r="J1882" s="31"/>
      <c r="K1882" s="31"/>
      <c r="L1882" s="24">
        <f t="shared" si="749"/>
        <v>0</v>
      </c>
      <c r="M1882" s="30"/>
      <c r="N1882" s="30"/>
      <c r="O1882" s="30"/>
      <c r="P1882" s="30"/>
    </row>
    <row r="1883" spans="1:16" s="1" customFormat="1">
      <c r="A1883" s="28"/>
      <c r="B1883" s="40" t="s">
        <v>35</v>
      </c>
      <c r="C1883" s="24">
        <f t="shared" si="748"/>
        <v>0</v>
      </c>
      <c r="D1883" s="30"/>
      <c r="E1883" s="30"/>
      <c r="F1883" s="30"/>
      <c r="G1883" s="30"/>
      <c r="H1883" s="31"/>
      <c r="I1883" s="31"/>
      <c r="J1883" s="31"/>
      <c r="K1883" s="31"/>
      <c r="L1883" s="24">
        <f t="shared" si="749"/>
        <v>0</v>
      </c>
      <c r="M1883" s="30"/>
      <c r="N1883" s="30"/>
      <c r="O1883" s="30"/>
      <c r="P1883" s="30"/>
    </row>
    <row r="1884" spans="1:16" s="1" customFormat="1" ht="30">
      <c r="A1884" s="28"/>
      <c r="B1884" s="41" t="s">
        <v>36</v>
      </c>
      <c r="C1884" s="24">
        <f t="shared" si="748"/>
        <v>0</v>
      </c>
      <c r="D1884" s="30"/>
      <c r="E1884" s="30"/>
      <c r="F1884" s="30"/>
      <c r="G1884" s="30"/>
      <c r="H1884" s="31"/>
      <c r="I1884" s="31"/>
      <c r="J1884" s="31"/>
      <c r="K1884" s="31"/>
      <c r="L1884" s="24">
        <f t="shared" si="749"/>
        <v>0</v>
      </c>
      <c r="M1884" s="30"/>
      <c r="N1884" s="30"/>
      <c r="O1884" s="30"/>
      <c r="P1884" s="30"/>
    </row>
    <row r="1885" spans="1:16" s="1" customFormat="1">
      <c r="A1885" s="28"/>
      <c r="B1885" s="42" t="s">
        <v>37</v>
      </c>
      <c r="C1885" s="24">
        <f t="shared" si="748"/>
        <v>0</v>
      </c>
      <c r="D1885" s="30"/>
      <c r="E1885" s="30"/>
      <c r="F1885" s="30"/>
      <c r="G1885" s="30"/>
      <c r="H1885" s="31"/>
      <c r="I1885" s="31"/>
      <c r="J1885" s="31"/>
      <c r="K1885" s="31"/>
      <c r="L1885" s="24">
        <f t="shared" si="749"/>
        <v>0</v>
      </c>
      <c r="M1885" s="30"/>
      <c r="N1885" s="30"/>
      <c r="O1885" s="30"/>
      <c r="P1885" s="30"/>
    </row>
    <row r="1886" spans="1:16" s="1" customFormat="1" ht="30">
      <c r="A1886" s="28"/>
      <c r="B1886" s="42" t="s">
        <v>38</v>
      </c>
      <c r="C1886" s="24">
        <f t="shared" si="748"/>
        <v>0</v>
      </c>
      <c r="D1886" s="30"/>
      <c r="E1886" s="30"/>
      <c r="F1886" s="30"/>
      <c r="G1886" s="30"/>
      <c r="H1886" s="31"/>
      <c r="I1886" s="31"/>
      <c r="J1886" s="31"/>
      <c r="K1886" s="31"/>
      <c r="L1886" s="24">
        <f t="shared" si="749"/>
        <v>0</v>
      </c>
      <c r="M1886" s="30"/>
      <c r="N1886" s="30"/>
      <c r="O1886" s="30"/>
      <c r="P1886" s="30"/>
    </row>
    <row r="1887" spans="1:16" s="1" customFormat="1" ht="30">
      <c r="A1887" s="28"/>
      <c r="B1887" s="43" t="s">
        <v>39</v>
      </c>
      <c r="C1887" s="36">
        <f t="shared" ref="C1887:G1887" si="750">SUM(C1888:C1894)</f>
        <v>0</v>
      </c>
      <c r="D1887" s="36">
        <f t="shared" si="750"/>
        <v>0</v>
      </c>
      <c r="E1887" s="36">
        <f t="shared" si="750"/>
        <v>0</v>
      </c>
      <c r="F1887" s="36">
        <f t="shared" si="750"/>
        <v>0</v>
      </c>
      <c r="G1887" s="36">
        <f t="shared" si="750"/>
        <v>0</v>
      </c>
      <c r="H1887" s="31"/>
      <c r="I1887" s="31"/>
      <c r="J1887" s="31"/>
      <c r="K1887" s="31"/>
      <c r="L1887" s="36">
        <f t="shared" ref="L1887:P1887" si="751">SUM(L1888:L1894)</f>
        <v>0</v>
      </c>
      <c r="M1887" s="36">
        <f t="shared" si="751"/>
        <v>0</v>
      </c>
      <c r="N1887" s="36">
        <f t="shared" si="751"/>
        <v>0</v>
      </c>
      <c r="O1887" s="36">
        <f t="shared" si="751"/>
        <v>0</v>
      </c>
      <c r="P1887" s="36">
        <f t="shared" si="751"/>
        <v>0</v>
      </c>
    </row>
    <row r="1888" spans="1:16" s="1" customFormat="1" ht="30">
      <c r="A1888" s="28" t="s">
        <v>40</v>
      </c>
      <c r="B1888" s="39" t="s">
        <v>41</v>
      </c>
      <c r="C1888" s="24">
        <f t="shared" ref="C1888:C1894" si="752">E1888+F1888+G1888</f>
        <v>0</v>
      </c>
      <c r="D1888" s="30"/>
      <c r="E1888" s="30"/>
      <c r="F1888" s="30"/>
      <c r="G1888" s="30"/>
      <c r="H1888" s="31"/>
      <c r="I1888" s="31"/>
      <c r="J1888" s="31"/>
      <c r="K1888" s="31"/>
      <c r="L1888" s="24">
        <f t="shared" ref="L1888:L1894" si="753">N1888+O1888+P1888</f>
        <v>0</v>
      </c>
      <c r="M1888" s="30"/>
      <c r="N1888" s="30"/>
      <c r="O1888" s="30"/>
      <c r="P1888" s="30"/>
    </row>
    <row r="1889" spans="1:16" s="1" customFormat="1">
      <c r="A1889" s="28"/>
      <c r="B1889" s="39" t="s">
        <v>42</v>
      </c>
      <c r="C1889" s="24">
        <f t="shared" si="752"/>
        <v>0</v>
      </c>
      <c r="D1889" s="30"/>
      <c r="E1889" s="30"/>
      <c r="F1889" s="30"/>
      <c r="G1889" s="30"/>
      <c r="H1889" s="31"/>
      <c r="I1889" s="31"/>
      <c r="J1889" s="31"/>
      <c r="K1889" s="31"/>
      <c r="L1889" s="24">
        <f t="shared" si="753"/>
        <v>0</v>
      </c>
      <c r="M1889" s="30"/>
      <c r="N1889" s="30"/>
      <c r="O1889" s="30"/>
      <c r="P1889" s="30"/>
    </row>
    <row r="1890" spans="1:16" s="1" customFormat="1">
      <c r="A1890" s="28"/>
      <c r="B1890" s="39" t="s">
        <v>43</v>
      </c>
      <c r="C1890" s="24">
        <f t="shared" si="752"/>
        <v>0</v>
      </c>
      <c r="D1890" s="30"/>
      <c r="E1890" s="30"/>
      <c r="F1890" s="30"/>
      <c r="G1890" s="30"/>
      <c r="H1890" s="31"/>
      <c r="I1890" s="31"/>
      <c r="J1890" s="31"/>
      <c r="K1890" s="31"/>
      <c r="L1890" s="24">
        <f t="shared" si="753"/>
        <v>0</v>
      </c>
      <c r="M1890" s="30"/>
      <c r="N1890" s="30"/>
      <c r="O1890" s="30"/>
      <c r="P1890" s="30"/>
    </row>
    <row r="1891" spans="1:16" s="1" customFormat="1">
      <c r="A1891" s="28"/>
      <c r="B1891" s="39" t="s">
        <v>44</v>
      </c>
      <c r="C1891" s="24">
        <f t="shared" si="752"/>
        <v>0</v>
      </c>
      <c r="D1891" s="30"/>
      <c r="E1891" s="30"/>
      <c r="F1891" s="30"/>
      <c r="G1891" s="30"/>
      <c r="H1891" s="31"/>
      <c r="I1891" s="31"/>
      <c r="J1891" s="31"/>
      <c r="K1891" s="31"/>
      <c r="L1891" s="24">
        <f t="shared" si="753"/>
        <v>0</v>
      </c>
      <c r="M1891" s="30"/>
      <c r="N1891" s="30"/>
      <c r="O1891" s="30"/>
      <c r="P1891" s="30"/>
    </row>
    <row r="1892" spans="1:16" s="1" customFormat="1">
      <c r="A1892" s="28"/>
      <c r="B1892" s="39" t="s">
        <v>45</v>
      </c>
      <c r="C1892" s="24">
        <f t="shared" si="752"/>
        <v>0</v>
      </c>
      <c r="D1892" s="30"/>
      <c r="E1892" s="30"/>
      <c r="F1892" s="30"/>
      <c r="G1892" s="30"/>
      <c r="H1892" s="31"/>
      <c r="I1892" s="31"/>
      <c r="J1892" s="31"/>
      <c r="K1892" s="31"/>
      <c r="L1892" s="24">
        <f t="shared" si="753"/>
        <v>0</v>
      </c>
      <c r="M1892" s="30"/>
      <c r="N1892" s="30"/>
      <c r="O1892" s="30"/>
      <c r="P1892" s="30"/>
    </row>
    <row r="1893" spans="1:16" s="1" customFormat="1" ht="30">
      <c r="A1893" s="28"/>
      <c r="B1893" s="39" t="s">
        <v>46</v>
      </c>
      <c r="C1893" s="24">
        <f t="shared" si="752"/>
        <v>0</v>
      </c>
      <c r="D1893" s="30"/>
      <c r="E1893" s="30"/>
      <c r="F1893" s="30"/>
      <c r="G1893" s="30"/>
      <c r="H1893" s="31"/>
      <c r="I1893" s="31"/>
      <c r="J1893" s="31"/>
      <c r="K1893" s="31"/>
      <c r="L1893" s="24">
        <f t="shared" si="753"/>
        <v>0</v>
      </c>
      <c r="M1893" s="30"/>
      <c r="N1893" s="30"/>
      <c r="O1893" s="30"/>
      <c r="P1893" s="30"/>
    </row>
    <row r="1894" spans="1:16" s="1" customFormat="1">
      <c r="A1894" s="28"/>
      <c r="B1894" s="39" t="s">
        <v>47</v>
      </c>
      <c r="C1894" s="24">
        <f t="shared" si="752"/>
        <v>0</v>
      </c>
      <c r="D1894" s="30"/>
      <c r="E1894" s="30"/>
      <c r="F1894" s="30"/>
      <c r="G1894" s="30"/>
      <c r="H1894" s="31"/>
      <c r="I1894" s="31"/>
      <c r="J1894" s="31"/>
      <c r="K1894" s="31"/>
      <c r="L1894" s="24">
        <f t="shared" si="753"/>
        <v>0</v>
      </c>
      <c r="M1894" s="30"/>
      <c r="N1894" s="30"/>
      <c r="O1894" s="30"/>
      <c r="P1894" s="30"/>
    </row>
    <row r="1895" spans="1:16" s="1" customFormat="1" ht="36.75" customHeight="1">
      <c r="A1895" s="211" t="s">
        <v>3</v>
      </c>
      <c r="B1895" s="213" t="s">
        <v>4</v>
      </c>
      <c r="C1895" s="213" t="s">
        <v>5</v>
      </c>
      <c r="D1895" s="10" t="s">
        <v>6</v>
      </c>
      <c r="E1895" s="215" t="s">
        <v>7</v>
      </c>
      <c r="F1895" s="216"/>
      <c r="G1895" s="217"/>
      <c r="H1895" s="218" t="s">
        <v>8</v>
      </c>
      <c r="I1895" s="218"/>
      <c r="J1895" s="218"/>
      <c r="K1895" s="11"/>
      <c r="L1895" s="219" t="s">
        <v>9</v>
      </c>
      <c r="M1895" s="12" t="s">
        <v>6</v>
      </c>
      <c r="N1895" s="208" t="s">
        <v>10</v>
      </c>
      <c r="O1895" s="209"/>
      <c r="P1895" s="210"/>
    </row>
    <row r="1896" spans="1:16" s="1" customFormat="1" ht="47.25" customHeight="1">
      <c r="A1896" s="212"/>
      <c r="B1896" s="214"/>
      <c r="C1896" s="214"/>
      <c r="D1896" s="13" t="s">
        <v>11</v>
      </c>
      <c r="E1896" s="13" t="s">
        <v>12</v>
      </c>
      <c r="F1896" s="13" t="s">
        <v>13</v>
      </c>
      <c r="G1896" s="13" t="s">
        <v>14</v>
      </c>
      <c r="H1896" s="14" t="s">
        <v>15</v>
      </c>
      <c r="I1896" s="14" t="s">
        <v>16</v>
      </c>
      <c r="J1896" s="14" t="s">
        <v>17</v>
      </c>
      <c r="K1896" s="14" t="s">
        <v>18</v>
      </c>
      <c r="L1896" s="220"/>
      <c r="M1896" s="15" t="s">
        <v>11</v>
      </c>
      <c r="N1896" s="15" t="s">
        <v>12</v>
      </c>
      <c r="O1896" s="15" t="s">
        <v>13</v>
      </c>
      <c r="P1896" s="15" t="s">
        <v>14</v>
      </c>
    </row>
    <row r="1897" spans="1:16" s="1" customFormat="1">
      <c r="A1897" s="143" t="s">
        <v>105</v>
      </c>
      <c r="B1897" s="144" t="s">
        <v>106</v>
      </c>
      <c r="C1897" s="145">
        <f t="shared" ref="C1897:G1897" si="754">C1898+C1899+C1900+C1901+C1902+C1903+C1904+C1905+C1910+C1911+C1912+C1913+C1914+C1915+C1916+C1917</f>
        <v>3703899.7300000004</v>
      </c>
      <c r="D1897" s="145">
        <f t="shared" si="754"/>
        <v>1533833.07</v>
      </c>
      <c r="E1897" s="145">
        <f t="shared" si="754"/>
        <v>3424846.9700000007</v>
      </c>
      <c r="F1897" s="145">
        <f t="shared" si="754"/>
        <v>279052.76</v>
      </c>
      <c r="G1897" s="145">
        <f t="shared" si="754"/>
        <v>0</v>
      </c>
      <c r="H1897" s="132">
        <f>H1747+H1777+H1807+H1837+H1867</f>
        <v>0</v>
      </c>
      <c r="I1897" s="132">
        <f>I1747+I1777+I1807+I1837+I1867</f>
        <v>0</v>
      </c>
      <c r="J1897" s="132">
        <f>J1747+J1777+J1807+J1837+J1867</f>
        <v>0</v>
      </c>
      <c r="K1897" s="132">
        <f>K1747+K1777+K1807+K1837+K1867</f>
        <v>0</v>
      </c>
      <c r="L1897" s="145">
        <f t="shared" ref="L1897:P1897" si="755">L1898+L1899+L1900+L1901+L1902+L1903+L1904+L1905+L1910+L1911+L1912+L1913+L1914+L1915+L1916+L1917</f>
        <v>0</v>
      </c>
      <c r="M1897" s="145">
        <f t="shared" si="755"/>
        <v>1533833.07</v>
      </c>
      <c r="N1897" s="145">
        <f t="shared" si="755"/>
        <v>0</v>
      </c>
      <c r="O1897" s="145">
        <f t="shared" si="755"/>
        <v>0</v>
      </c>
      <c r="P1897" s="145">
        <f t="shared" si="755"/>
        <v>0</v>
      </c>
    </row>
    <row r="1898" spans="1:16" s="1" customFormat="1">
      <c r="A1898" s="140"/>
      <c r="B1898" s="146" t="s">
        <v>20</v>
      </c>
      <c r="C1898" s="147">
        <f t="shared" ref="C1898:G1904" si="756">C1748+C1778+C1808+C1838+C1868</f>
        <v>48542.76</v>
      </c>
      <c r="D1898" s="147">
        <f t="shared" si="756"/>
        <v>0</v>
      </c>
      <c r="E1898" s="147">
        <f t="shared" si="756"/>
        <v>0</v>
      </c>
      <c r="F1898" s="147">
        <f t="shared" si="756"/>
        <v>48542.76</v>
      </c>
      <c r="G1898" s="147">
        <f t="shared" si="756"/>
        <v>0</v>
      </c>
      <c r="H1898" s="24"/>
      <c r="I1898" s="24"/>
      <c r="J1898" s="24"/>
      <c r="K1898" s="24"/>
      <c r="L1898" s="147">
        <f t="shared" ref="L1898:P1904" si="757">L1748+L1778+L1808+L1838+L1868</f>
        <v>0</v>
      </c>
      <c r="M1898" s="147">
        <f t="shared" si="757"/>
        <v>0</v>
      </c>
      <c r="N1898" s="147">
        <f t="shared" si="757"/>
        <v>0</v>
      </c>
      <c r="O1898" s="147">
        <f t="shared" si="757"/>
        <v>0</v>
      </c>
      <c r="P1898" s="147">
        <f t="shared" si="757"/>
        <v>0</v>
      </c>
    </row>
    <row r="1899" spans="1:16" s="1" customFormat="1">
      <c r="A1899" s="148"/>
      <c r="B1899" s="149" t="s">
        <v>21</v>
      </c>
      <c r="C1899" s="147">
        <f t="shared" si="756"/>
        <v>498088.32</v>
      </c>
      <c r="D1899" s="147">
        <f t="shared" si="756"/>
        <v>106957.01</v>
      </c>
      <c r="E1899" s="147">
        <f t="shared" si="756"/>
        <v>498088.32</v>
      </c>
      <c r="F1899" s="147">
        <f t="shared" si="756"/>
        <v>0</v>
      </c>
      <c r="G1899" s="147">
        <f t="shared" si="756"/>
        <v>0</v>
      </c>
      <c r="H1899" s="31"/>
      <c r="I1899" s="31"/>
      <c r="J1899" s="31"/>
      <c r="K1899" s="31"/>
      <c r="L1899" s="147">
        <f t="shared" si="757"/>
        <v>0</v>
      </c>
      <c r="M1899" s="147">
        <f t="shared" si="757"/>
        <v>106957.01</v>
      </c>
      <c r="N1899" s="147">
        <f t="shared" si="757"/>
        <v>0</v>
      </c>
      <c r="O1899" s="147">
        <f t="shared" si="757"/>
        <v>0</v>
      </c>
      <c r="P1899" s="147">
        <f t="shared" si="757"/>
        <v>0</v>
      </c>
    </row>
    <row r="1900" spans="1:16" s="1" customFormat="1">
      <c r="A1900" s="148"/>
      <c r="B1900" s="149" t="s">
        <v>22</v>
      </c>
      <c r="C1900" s="147">
        <f t="shared" si="756"/>
        <v>0</v>
      </c>
      <c r="D1900" s="147">
        <f t="shared" si="756"/>
        <v>0</v>
      </c>
      <c r="E1900" s="147">
        <f t="shared" si="756"/>
        <v>0</v>
      </c>
      <c r="F1900" s="147">
        <f t="shared" si="756"/>
        <v>0</v>
      </c>
      <c r="G1900" s="147">
        <f t="shared" si="756"/>
        <v>0</v>
      </c>
      <c r="H1900" s="31"/>
      <c r="I1900" s="31"/>
      <c r="J1900" s="31"/>
      <c r="K1900" s="31"/>
      <c r="L1900" s="147">
        <f t="shared" si="757"/>
        <v>0</v>
      </c>
      <c r="M1900" s="147">
        <f t="shared" si="757"/>
        <v>0</v>
      </c>
      <c r="N1900" s="147">
        <f t="shared" si="757"/>
        <v>0</v>
      </c>
      <c r="O1900" s="147">
        <f t="shared" si="757"/>
        <v>0</v>
      </c>
      <c r="P1900" s="147">
        <f t="shared" si="757"/>
        <v>0</v>
      </c>
    </row>
    <row r="1901" spans="1:16" s="1" customFormat="1">
      <c r="A1901" s="148"/>
      <c r="B1901" s="149" t="s">
        <v>23</v>
      </c>
      <c r="C1901" s="147">
        <f t="shared" si="756"/>
        <v>11675.67</v>
      </c>
      <c r="D1901" s="147">
        <f t="shared" si="756"/>
        <v>10248.620000000001</v>
      </c>
      <c r="E1901" s="147">
        <f t="shared" si="756"/>
        <v>11675.67</v>
      </c>
      <c r="F1901" s="147">
        <f t="shared" si="756"/>
        <v>0</v>
      </c>
      <c r="G1901" s="147">
        <f t="shared" si="756"/>
        <v>0</v>
      </c>
      <c r="H1901" s="31"/>
      <c r="I1901" s="31"/>
      <c r="J1901" s="31"/>
      <c r="K1901" s="31"/>
      <c r="L1901" s="147">
        <f t="shared" si="757"/>
        <v>0</v>
      </c>
      <c r="M1901" s="147">
        <f t="shared" si="757"/>
        <v>10248.620000000001</v>
      </c>
      <c r="N1901" s="147">
        <f t="shared" si="757"/>
        <v>0</v>
      </c>
      <c r="O1901" s="147">
        <f t="shared" si="757"/>
        <v>0</v>
      </c>
      <c r="P1901" s="147">
        <f t="shared" si="757"/>
        <v>0</v>
      </c>
    </row>
    <row r="1902" spans="1:16" s="1" customFormat="1">
      <c r="A1902" s="148"/>
      <c r="B1902" s="149" t="s">
        <v>24</v>
      </c>
      <c r="C1902" s="147">
        <f t="shared" si="756"/>
        <v>483513.53</v>
      </c>
      <c r="D1902" s="147">
        <f t="shared" si="756"/>
        <v>710845.62</v>
      </c>
      <c r="E1902" s="147">
        <f t="shared" si="756"/>
        <v>483513.53</v>
      </c>
      <c r="F1902" s="147">
        <f t="shared" si="756"/>
        <v>0</v>
      </c>
      <c r="G1902" s="147">
        <f t="shared" si="756"/>
        <v>0</v>
      </c>
      <c r="H1902" s="31"/>
      <c r="I1902" s="31"/>
      <c r="J1902" s="31"/>
      <c r="K1902" s="31"/>
      <c r="L1902" s="147">
        <f t="shared" si="757"/>
        <v>0</v>
      </c>
      <c r="M1902" s="147">
        <f t="shared" si="757"/>
        <v>710845.62</v>
      </c>
      <c r="N1902" s="147">
        <f t="shared" si="757"/>
        <v>0</v>
      </c>
      <c r="O1902" s="147">
        <f t="shared" si="757"/>
        <v>0</v>
      </c>
      <c r="P1902" s="147">
        <f t="shared" si="757"/>
        <v>0</v>
      </c>
    </row>
    <row r="1903" spans="1:16" s="1" customFormat="1">
      <c r="A1903" s="148"/>
      <c r="B1903" s="150" t="s">
        <v>25</v>
      </c>
      <c r="C1903" s="147">
        <f t="shared" si="756"/>
        <v>28275.25</v>
      </c>
      <c r="D1903" s="147">
        <f t="shared" si="756"/>
        <v>2556.33</v>
      </c>
      <c r="E1903" s="147">
        <f t="shared" si="756"/>
        <v>28275.25</v>
      </c>
      <c r="F1903" s="147">
        <f t="shared" si="756"/>
        <v>0</v>
      </c>
      <c r="G1903" s="147">
        <f t="shared" si="756"/>
        <v>0</v>
      </c>
      <c r="H1903" s="31"/>
      <c r="I1903" s="31"/>
      <c r="J1903" s="31"/>
      <c r="K1903" s="31"/>
      <c r="L1903" s="147">
        <f t="shared" si="757"/>
        <v>0</v>
      </c>
      <c r="M1903" s="147">
        <f t="shared" si="757"/>
        <v>2556.33</v>
      </c>
      <c r="N1903" s="147">
        <f t="shared" si="757"/>
        <v>0</v>
      </c>
      <c r="O1903" s="147">
        <f t="shared" si="757"/>
        <v>0</v>
      </c>
      <c r="P1903" s="147">
        <f t="shared" si="757"/>
        <v>0</v>
      </c>
    </row>
    <row r="1904" spans="1:16" s="1" customFormat="1">
      <c r="A1904" s="148"/>
      <c r="B1904" s="149" t="s">
        <v>26</v>
      </c>
      <c r="C1904" s="147">
        <f t="shared" si="756"/>
        <v>0</v>
      </c>
      <c r="D1904" s="147">
        <f t="shared" si="756"/>
        <v>0</v>
      </c>
      <c r="E1904" s="147">
        <f t="shared" si="756"/>
        <v>0</v>
      </c>
      <c r="F1904" s="147">
        <f t="shared" si="756"/>
        <v>0</v>
      </c>
      <c r="G1904" s="147">
        <f t="shared" si="756"/>
        <v>0</v>
      </c>
      <c r="H1904" s="31"/>
      <c r="I1904" s="31"/>
      <c r="J1904" s="31"/>
      <c r="K1904" s="31"/>
      <c r="L1904" s="147">
        <f t="shared" si="757"/>
        <v>0</v>
      </c>
      <c r="M1904" s="147">
        <f t="shared" si="757"/>
        <v>0</v>
      </c>
      <c r="N1904" s="147">
        <f t="shared" si="757"/>
        <v>0</v>
      </c>
      <c r="O1904" s="147">
        <f t="shared" si="757"/>
        <v>0</v>
      </c>
      <c r="P1904" s="147">
        <f t="shared" si="757"/>
        <v>0</v>
      </c>
    </row>
    <row r="1905" spans="1:16" s="1" customFormat="1" ht="30">
      <c r="A1905" s="148"/>
      <c r="B1905" s="151" t="s">
        <v>27</v>
      </c>
      <c r="C1905" s="152">
        <f t="shared" ref="C1905:G1905" si="758">SUM(C1906:C1909)</f>
        <v>2012694.42</v>
      </c>
      <c r="D1905" s="152">
        <f t="shared" si="758"/>
        <v>47722.409999999996</v>
      </c>
      <c r="E1905" s="152">
        <f t="shared" si="758"/>
        <v>2012694.42</v>
      </c>
      <c r="F1905" s="152">
        <f t="shared" si="758"/>
        <v>0</v>
      </c>
      <c r="G1905" s="152">
        <f t="shared" si="758"/>
        <v>0</v>
      </c>
      <c r="H1905" s="31"/>
      <c r="I1905" s="31"/>
      <c r="J1905" s="31"/>
      <c r="K1905" s="31"/>
      <c r="L1905" s="152">
        <f t="shared" ref="L1905:P1905" si="759">SUM(L1906:L1909)</f>
        <v>0</v>
      </c>
      <c r="M1905" s="152">
        <f t="shared" si="759"/>
        <v>47722.409999999996</v>
      </c>
      <c r="N1905" s="152">
        <f t="shared" si="759"/>
        <v>0</v>
      </c>
      <c r="O1905" s="152">
        <f t="shared" si="759"/>
        <v>0</v>
      </c>
      <c r="P1905" s="152">
        <f t="shared" si="759"/>
        <v>0</v>
      </c>
    </row>
    <row r="1906" spans="1:16" s="1" customFormat="1">
      <c r="A1906" s="148"/>
      <c r="B1906" s="153" t="s">
        <v>28</v>
      </c>
      <c r="C1906" s="147">
        <f t="shared" ref="C1906:G1916" si="760">C1756+C1786+C1816+C1846+C1876</f>
        <v>1970090.2999999998</v>
      </c>
      <c r="D1906" s="147">
        <f t="shared" si="760"/>
        <v>0</v>
      </c>
      <c r="E1906" s="147">
        <f t="shared" si="760"/>
        <v>1970090.2999999998</v>
      </c>
      <c r="F1906" s="147">
        <f t="shared" si="760"/>
        <v>0</v>
      </c>
      <c r="G1906" s="147">
        <f t="shared" si="760"/>
        <v>0</v>
      </c>
      <c r="H1906" s="31"/>
      <c r="I1906" s="31"/>
      <c r="J1906" s="31"/>
      <c r="K1906" s="31"/>
      <c r="L1906" s="147">
        <f t="shared" ref="L1906:P1916" si="761">L1756+L1786+L1816+L1846+L1876</f>
        <v>0</v>
      </c>
      <c r="M1906" s="147">
        <f t="shared" si="761"/>
        <v>0</v>
      </c>
      <c r="N1906" s="147">
        <f t="shared" si="761"/>
        <v>0</v>
      </c>
      <c r="O1906" s="147">
        <f t="shared" si="761"/>
        <v>0</v>
      </c>
      <c r="P1906" s="147">
        <f t="shared" si="761"/>
        <v>0</v>
      </c>
    </row>
    <row r="1907" spans="1:16" s="1" customFormat="1">
      <c r="A1907" s="148"/>
      <c r="B1907" s="153" t="s">
        <v>29</v>
      </c>
      <c r="C1907" s="147">
        <f t="shared" si="760"/>
        <v>0</v>
      </c>
      <c r="D1907" s="147">
        <f t="shared" si="760"/>
        <v>43275.92</v>
      </c>
      <c r="E1907" s="147">
        <f t="shared" si="760"/>
        <v>0</v>
      </c>
      <c r="F1907" s="147">
        <f t="shared" si="760"/>
        <v>0</v>
      </c>
      <c r="G1907" s="147">
        <f t="shared" si="760"/>
        <v>0</v>
      </c>
      <c r="H1907" s="31"/>
      <c r="I1907" s="31"/>
      <c r="J1907" s="31"/>
      <c r="K1907" s="31"/>
      <c r="L1907" s="147">
        <f t="shared" si="761"/>
        <v>0</v>
      </c>
      <c r="M1907" s="147">
        <f t="shared" si="761"/>
        <v>43275.92</v>
      </c>
      <c r="N1907" s="147">
        <f t="shared" si="761"/>
        <v>0</v>
      </c>
      <c r="O1907" s="147">
        <f t="shared" si="761"/>
        <v>0</v>
      </c>
      <c r="P1907" s="147">
        <f t="shared" si="761"/>
        <v>0</v>
      </c>
    </row>
    <row r="1908" spans="1:16" s="1" customFormat="1">
      <c r="A1908" s="148"/>
      <c r="B1908" s="153" t="s">
        <v>30</v>
      </c>
      <c r="C1908" s="147">
        <f t="shared" si="760"/>
        <v>0</v>
      </c>
      <c r="D1908" s="147">
        <f t="shared" si="760"/>
        <v>4446.49</v>
      </c>
      <c r="E1908" s="147">
        <f t="shared" si="760"/>
        <v>0</v>
      </c>
      <c r="F1908" s="147">
        <f t="shared" si="760"/>
        <v>0</v>
      </c>
      <c r="G1908" s="147">
        <f t="shared" si="760"/>
        <v>0</v>
      </c>
      <c r="H1908" s="31"/>
      <c r="I1908" s="31"/>
      <c r="J1908" s="31"/>
      <c r="K1908" s="31"/>
      <c r="L1908" s="147">
        <f t="shared" si="761"/>
        <v>0</v>
      </c>
      <c r="M1908" s="147">
        <f t="shared" si="761"/>
        <v>4446.49</v>
      </c>
      <c r="N1908" s="147">
        <f t="shared" si="761"/>
        <v>0</v>
      </c>
      <c r="O1908" s="147">
        <f t="shared" si="761"/>
        <v>0</v>
      </c>
      <c r="P1908" s="147">
        <f t="shared" si="761"/>
        <v>0</v>
      </c>
    </row>
    <row r="1909" spans="1:16" s="1" customFormat="1">
      <c r="A1909" s="148"/>
      <c r="B1909" s="153" t="s">
        <v>31</v>
      </c>
      <c r="C1909" s="147">
        <f t="shared" si="760"/>
        <v>42604.12</v>
      </c>
      <c r="D1909" s="147">
        <f t="shared" si="760"/>
        <v>0</v>
      </c>
      <c r="E1909" s="147">
        <f t="shared" si="760"/>
        <v>42604.12</v>
      </c>
      <c r="F1909" s="147">
        <f t="shared" si="760"/>
        <v>0</v>
      </c>
      <c r="G1909" s="147">
        <f t="shared" si="760"/>
        <v>0</v>
      </c>
      <c r="H1909" s="31"/>
      <c r="I1909" s="31"/>
      <c r="J1909" s="31"/>
      <c r="K1909" s="31"/>
      <c r="L1909" s="147">
        <f t="shared" si="761"/>
        <v>0</v>
      </c>
      <c r="M1909" s="147">
        <f t="shared" si="761"/>
        <v>0</v>
      </c>
      <c r="N1909" s="147">
        <f t="shared" si="761"/>
        <v>0</v>
      </c>
      <c r="O1909" s="147">
        <f t="shared" si="761"/>
        <v>0</v>
      </c>
      <c r="P1909" s="147">
        <f t="shared" si="761"/>
        <v>0</v>
      </c>
    </row>
    <row r="1910" spans="1:16" s="1" customFormat="1" ht="30">
      <c r="A1910" s="148"/>
      <c r="B1910" s="154" t="s">
        <v>32</v>
      </c>
      <c r="C1910" s="147">
        <f t="shared" si="760"/>
        <v>0</v>
      </c>
      <c r="D1910" s="147">
        <f t="shared" si="760"/>
        <v>0</v>
      </c>
      <c r="E1910" s="147">
        <f t="shared" si="760"/>
        <v>0</v>
      </c>
      <c r="F1910" s="147">
        <f t="shared" si="760"/>
        <v>0</v>
      </c>
      <c r="G1910" s="147">
        <f t="shared" si="760"/>
        <v>0</v>
      </c>
      <c r="H1910" s="31"/>
      <c r="I1910" s="31"/>
      <c r="J1910" s="31"/>
      <c r="K1910" s="31"/>
      <c r="L1910" s="147">
        <f t="shared" si="761"/>
        <v>0</v>
      </c>
      <c r="M1910" s="147">
        <f t="shared" si="761"/>
        <v>0</v>
      </c>
      <c r="N1910" s="147">
        <f t="shared" si="761"/>
        <v>0</v>
      </c>
      <c r="O1910" s="147">
        <f t="shared" si="761"/>
        <v>0</v>
      </c>
      <c r="P1910" s="147">
        <f t="shared" si="761"/>
        <v>0</v>
      </c>
    </row>
    <row r="1911" spans="1:16" s="1" customFormat="1" ht="30">
      <c r="A1911" s="148"/>
      <c r="B1911" s="154" t="s">
        <v>33</v>
      </c>
      <c r="C1911" s="147">
        <f t="shared" si="760"/>
        <v>45288.429999999993</v>
      </c>
      <c r="D1911" s="147">
        <f t="shared" si="760"/>
        <v>391956.77999999997</v>
      </c>
      <c r="E1911" s="147">
        <f t="shared" si="760"/>
        <v>45288.429999999993</v>
      </c>
      <c r="F1911" s="147">
        <f t="shared" si="760"/>
        <v>0</v>
      </c>
      <c r="G1911" s="147">
        <f t="shared" si="760"/>
        <v>0</v>
      </c>
      <c r="H1911" s="31"/>
      <c r="I1911" s="31"/>
      <c r="J1911" s="31"/>
      <c r="K1911" s="31"/>
      <c r="L1911" s="147">
        <f t="shared" si="761"/>
        <v>0</v>
      </c>
      <c r="M1911" s="147">
        <f t="shared" si="761"/>
        <v>391956.77999999997</v>
      </c>
      <c r="N1911" s="147">
        <f t="shared" si="761"/>
        <v>0</v>
      </c>
      <c r="O1911" s="147">
        <f t="shared" si="761"/>
        <v>0</v>
      </c>
      <c r="P1911" s="147">
        <f t="shared" si="761"/>
        <v>0</v>
      </c>
    </row>
    <row r="1912" spans="1:16" s="1" customFormat="1" ht="30">
      <c r="A1912" s="148"/>
      <c r="B1912" s="155" t="s">
        <v>34</v>
      </c>
      <c r="C1912" s="147">
        <f t="shared" si="760"/>
        <v>230000</v>
      </c>
      <c r="D1912" s="147">
        <f t="shared" si="760"/>
        <v>0</v>
      </c>
      <c r="E1912" s="147">
        <f t="shared" si="760"/>
        <v>0</v>
      </c>
      <c r="F1912" s="147">
        <f t="shared" si="760"/>
        <v>230000</v>
      </c>
      <c r="G1912" s="147">
        <f t="shared" si="760"/>
        <v>0</v>
      </c>
      <c r="H1912" s="31"/>
      <c r="I1912" s="31"/>
      <c r="J1912" s="31"/>
      <c r="K1912" s="31"/>
      <c r="L1912" s="147">
        <f t="shared" si="761"/>
        <v>0</v>
      </c>
      <c r="M1912" s="147">
        <f t="shared" si="761"/>
        <v>0</v>
      </c>
      <c r="N1912" s="147">
        <f t="shared" si="761"/>
        <v>0</v>
      </c>
      <c r="O1912" s="147">
        <f t="shared" si="761"/>
        <v>0</v>
      </c>
      <c r="P1912" s="147">
        <f t="shared" si="761"/>
        <v>0</v>
      </c>
    </row>
    <row r="1913" spans="1:16" s="1" customFormat="1">
      <c r="A1913" s="148"/>
      <c r="B1913" s="155" t="s">
        <v>35</v>
      </c>
      <c r="C1913" s="147">
        <f t="shared" si="760"/>
        <v>8400</v>
      </c>
      <c r="D1913" s="147">
        <f t="shared" si="760"/>
        <v>79167</v>
      </c>
      <c r="E1913" s="147">
        <f t="shared" si="760"/>
        <v>8400</v>
      </c>
      <c r="F1913" s="147">
        <f t="shared" si="760"/>
        <v>0</v>
      </c>
      <c r="G1913" s="147">
        <f t="shared" si="760"/>
        <v>0</v>
      </c>
      <c r="H1913" s="31"/>
      <c r="I1913" s="31"/>
      <c r="J1913" s="31"/>
      <c r="K1913" s="31"/>
      <c r="L1913" s="147">
        <f t="shared" si="761"/>
        <v>0</v>
      </c>
      <c r="M1913" s="147">
        <f t="shared" si="761"/>
        <v>79167</v>
      </c>
      <c r="N1913" s="147">
        <f t="shared" si="761"/>
        <v>0</v>
      </c>
      <c r="O1913" s="147">
        <f t="shared" si="761"/>
        <v>0</v>
      </c>
      <c r="P1913" s="147">
        <f t="shared" si="761"/>
        <v>0</v>
      </c>
    </row>
    <row r="1914" spans="1:16" s="1" customFormat="1" ht="30">
      <c r="A1914" s="148"/>
      <c r="B1914" s="150" t="s">
        <v>36</v>
      </c>
      <c r="C1914" s="147">
        <f t="shared" si="760"/>
        <v>0</v>
      </c>
      <c r="D1914" s="147">
        <f t="shared" si="760"/>
        <v>0</v>
      </c>
      <c r="E1914" s="147">
        <f t="shared" si="760"/>
        <v>0</v>
      </c>
      <c r="F1914" s="147">
        <f t="shared" si="760"/>
        <v>0</v>
      </c>
      <c r="G1914" s="147">
        <f t="shared" si="760"/>
        <v>0</v>
      </c>
      <c r="H1914" s="31"/>
      <c r="I1914" s="31"/>
      <c r="J1914" s="31"/>
      <c r="K1914" s="31"/>
      <c r="L1914" s="147">
        <f t="shared" si="761"/>
        <v>0</v>
      </c>
      <c r="M1914" s="147">
        <f t="shared" si="761"/>
        <v>0</v>
      </c>
      <c r="N1914" s="147">
        <f t="shared" si="761"/>
        <v>0</v>
      </c>
      <c r="O1914" s="147">
        <f t="shared" si="761"/>
        <v>0</v>
      </c>
      <c r="P1914" s="147">
        <f t="shared" si="761"/>
        <v>0</v>
      </c>
    </row>
    <row r="1915" spans="1:16" s="1" customFormat="1">
      <c r="A1915" s="148"/>
      <c r="B1915" s="154" t="s">
        <v>37</v>
      </c>
      <c r="C1915" s="147">
        <f t="shared" si="760"/>
        <v>195528.39</v>
      </c>
      <c r="D1915" s="147">
        <f t="shared" si="760"/>
        <v>35955.07</v>
      </c>
      <c r="E1915" s="147">
        <f t="shared" si="760"/>
        <v>195528.39</v>
      </c>
      <c r="F1915" s="147">
        <f t="shared" si="760"/>
        <v>0</v>
      </c>
      <c r="G1915" s="147">
        <f t="shared" si="760"/>
        <v>0</v>
      </c>
      <c r="H1915" s="31"/>
      <c r="I1915" s="31"/>
      <c r="J1915" s="31"/>
      <c r="K1915" s="31"/>
      <c r="L1915" s="147">
        <f t="shared" si="761"/>
        <v>0</v>
      </c>
      <c r="M1915" s="147">
        <f t="shared" si="761"/>
        <v>35955.07</v>
      </c>
      <c r="N1915" s="147">
        <f t="shared" si="761"/>
        <v>0</v>
      </c>
      <c r="O1915" s="147">
        <f t="shared" si="761"/>
        <v>0</v>
      </c>
      <c r="P1915" s="147">
        <f t="shared" si="761"/>
        <v>0</v>
      </c>
    </row>
    <row r="1916" spans="1:16" s="1" customFormat="1" ht="30">
      <c r="A1916" s="148"/>
      <c r="B1916" s="154" t="s">
        <v>38</v>
      </c>
      <c r="C1916" s="147">
        <f t="shared" si="760"/>
        <v>38.700000000000003</v>
      </c>
      <c r="D1916" s="147">
        <f t="shared" si="760"/>
        <v>920</v>
      </c>
      <c r="E1916" s="147">
        <f t="shared" si="760"/>
        <v>38.700000000000003</v>
      </c>
      <c r="F1916" s="147">
        <f t="shared" si="760"/>
        <v>0</v>
      </c>
      <c r="G1916" s="147">
        <f t="shared" si="760"/>
        <v>0</v>
      </c>
      <c r="H1916" s="31"/>
      <c r="I1916" s="31"/>
      <c r="J1916" s="31"/>
      <c r="K1916" s="31"/>
      <c r="L1916" s="147">
        <f t="shared" si="761"/>
        <v>0</v>
      </c>
      <c r="M1916" s="147">
        <f t="shared" si="761"/>
        <v>920</v>
      </c>
      <c r="N1916" s="147">
        <f t="shared" si="761"/>
        <v>0</v>
      </c>
      <c r="O1916" s="147">
        <f t="shared" si="761"/>
        <v>0</v>
      </c>
      <c r="P1916" s="147">
        <f t="shared" si="761"/>
        <v>0</v>
      </c>
    </row>
    <row r="1917" spans="1:16" s="1" customFormat="1" ht="30">
      <c r="A1917" s="148"/>
      <c r="B1917" s="156" t="s">
        <v>39</v>
      </c>
      <c r="C1917" s="152">
        <f t="shared" ref="C1917:G1917" si="762">SUM(C1918:C1924)</f>
        <v>141854.26</v>
      </c>
      <c r="D1917" s="152">
        <f t="shared" si="762"/>
        <v>147504.22999999998</v>
      </c>
      <c r="E1917" s="152">
        <f t="shared" si="762"/>
        <v>141344.26</v>
      </c>
      <c r="F1917" s="152">
        <f t="shared" si="762"/>
        <v>510</v>
      </c>
      <c r="G1917" s="152">
        <f t="shared" si="762"/>
        <v>0</v>
      </c>
      <c r="H1917" s="31"/>
      <c r="I1917" s="31"/>
      <c r="J1917" s="31"/>
      <c r="K1917" s="31"/>
      <c r="L1917" s="152">
        <f t="shared" ref="L1917:P1917" si="763">SUM(L1918:L1924)</f>
        <v>0</v>
      </c>
      <c r="M1917" s="152">
        <f t="shared" si="763"/>
        <v>147504.22999999998</v>
      </c>
      <c r="N1917" s="152">
        <f t="shared" si="763"/>
        <v>0</v>
      </c>
      <c r="O1917" s="152">
        <f t="shared" si="763"/>
        <v>0</v>
      </c>
      <c r="P1917" s="152">
        <f t="shared" si="763"/>
        <v>0</v>
      </c>
    </row>
    <row r="1918" spans="1:16" s="1" customFormat="1" ht="30">
      <c r="A1918" s="148" t="s">
        <v>40</v>
      </c>
      <c r="B1918" s="154" t="s">
        <v>41</v>
      </c>
      <c r="C1918" s="147">
        <f t="shared" ref="C1918:G1924" si="764">C1768+C1798+C1828+C1858+C1888</f>
        <v>0</v>
      </c>
      <c r="D1918" s="147">
        <f t="shared" si="764"/>
        <v>0</v>
      </c>
      <c r="E1918" s="147">
        <f t="shared" si="764"/>
        <v>0</v>
      </c>
      <c r="F1918" s="147">
        <f t="shared" si="764"/>
        <v>0</v>
      </c>
      <c r="G1918" s="147">
        <f t="shared" si="764"/>
        <v>0</v>
      </c>
      <c r="H1918" s="31"/>
      <c r="I1918" s="31"/>
      <c r="J1918" s="31"/>
      <c r="K1918" s="31"/>
      <c r="L1918" s="147">
        <f t="shared" ref="L1918:P1924" si="765">L1768+L1798+L1828+L1858+L1888</f>
        <v>0</v>
      </c>
      <c r="M1918" s="147">
        <f t="shared" si="765"/>
        <v>0</v>
      </c>
      <c r="N1918" s="147">
        <f t="shared" si="765"/>
        <v>0</v>
      </c>
      <c r="O1918" s="147">
        <f t="shared" si="765"/>
        <v>0</v>
      </c>
      <c r="P1918" s="147">
        <f t="shared" si="765"/>
        <v>0</v>
      </c>
    </row>
    <row r="1919" spans="1:16" s="1" customFormat="1">
      <c r="A1919" s="148"/>
      <c r="B1919" s="154" t="s">
        <v>42</v>
      </c>
      <c r="C1919" s="147">
        <f t="shared" si="764"/>
        <v>0</v>
      </c>
      <c r="D1919" s="147">
        <f t="shared" si="764"/>
        <v>0</v>
      </c>
      <c r="E1919" s="147">
        <f t="shared" si="764"/>
        <v>0</v>
      </c>
      <c r="F1919" s="147">
        <f t="shared" si="764"/>
        <v>0</v>
      </c>
      <c r="G1919" s="147">
        <f t="shared" si="764"/>
        <v>0</v>
      </c>
      <c r="H1919" s="31"/>
      <c r="I1919" s="31"/>
      <c r="J1919" s="31"/>
      <c r="K1919" s="31"/>
      <c r="L1919" s="147">
        <f t="shared" si="765"/>
        <v>0</v>
      </c>
      <c r="M1919" s="147">
        <f t="shared" si="765"/>
        <v>0</v>
      </c>
      <c r="N1919" s="147">
        <f t="shared" si="765"/>
        <v>0</v>
      </c>
      <c r="O1919" s="147">
        <f t="shared" si="765"/>
        <v>0</v>
      </c>
      <c r="P1919" s="147">
        <f t="shared" si="765"/>
        <v>0</v>
      </c>
    </row>
    <row r="1920" spans="1:16" s="1" customFormat="1">
      <c r="A1920" s="148"/>
      <c r="B1920" s="154" t="s">
        <v>43</v>
      </c>
      <c r="C1920" s="147">
        <f t="shared" si="764"/>
        <v>0</v>
      </c>
      <c r="D1920" s="147">
        <f t="shared" si="764"/>
        <v>764.07</v>
      </c>
      <c r="E1920" s="147">
        <f t="shared" si="764"/>
        <v>0</v>
      </c>
      <c r="F1920" s="147">
        <f t="shared" si="764"/>
        <v>0</v>
      </c>
      <c r="G1920" s="147">
        <f t="shared" si="764"/>
        <v>0</v>
      </c>
      <c r="H1920" s="31"/>
      <c r="I1920" s="31"/>
      <c r="J1920" s="31"/>
      <c r="K1920" s="31"/>
      <c r="L1920" s="147">
        <f t="shared" si="765"/>
        <v>0</v>
      </c>
      <c r="M1920" s="147">
        <f t="shared" si="765"/>
        <v>764.07</v>
      </c>
      <c r="N1920" s="147">
        <f t="shared" si="765"/>
        <v>0</v>
      </c>
      <c r="O1920" s="147">
        <f t="shared" si="765"/>
        <v>0</v>
      </c>
      <c r="P1920" s="147">
        <f t="shared" si="765"/>
        <v>0</v>
      </c>
    </row>
    <row r="1921" spans="1:16" s="1" customFormat="1">
      <c r="A1921" s="148"/>
      <c r="B1921" s="154" t="s">
        <v>44</v>
      </c>
      <c r="C1921" s="147">
        <f t="shared" si="764"/>
        <v>0</v>
      </c>
      <c r="D1921" s="147">
        <f t="shared" si="764"/>
        <v>0</v>
      </c>
      <c r="E1921" s="147">
        <f t="shared" si="764"/>
        <v>0</v>
      </c>
      <c r="F1921" s="147">
        <f t="shared" si="764"/>
        <v>0</v>
      </c>
      <c r="G1921" s="147">
        <f t="shared" si="764"/>
        <v>0</v>
      </c>
      <c r="H1921" s="31"/>
      <c r="I1921" s="31"/>
      <c r="J1921" s="31"/>
      <c r="K1921" s="31"/>
      <c r="L1921" s="147">
        <f t="shared" si="765"/>
        <v>0</v>
      </c>
      <c r="M1921" s="147">
        <f t="shared" si="765"/>
        <v>0</v>
      </c>
      <c r="N1921" s="147">
        <f t="shared" si="765"/>
        <v>0</v>
      </c>
      <c r="O1921" s="147">
        <f t="shared" si="765"/>
        <v>0</v>
      </c>
      <c r="P1921" s="147">
        <f t="shared" si="765"/>
        <v>0</v>
      </c>
    </row>
    <row r="1922" spans="1:16" s="1" customFormat="1">
      <c r="A1922" s="148"/>
      <c r="B1922" s="154" t="s">
        <v>45</v>
      </c>
      <c r="C1922" s="147">
        <f t="shared" si="764"/>
        <v>141344.26</v>
      </c>
      <c r="D1922" s="147">
        <f t="shared" si="764"/>
        <v>40829.089999999997</v>
      </c>
      <c r="E1922" s="147">
        <f t="shared" si="764"/>
        <v>141344.26</v>
      </c>
      <c r="F1922" s="147">
        <f t="shared" si="764"/>
        <v>0</v>
      </c>
      <c r="G1922" s="147">
        <f t="shared" si="764"/>
        <v>0</v>
      </c>
      <c r="H1922" s="31"/>
      <c r="I1922" s="31"/>
      <c r="J1922" s="31"/>
      <c r="K1922" s="31"/>
      <c r="L1922" s="147">
        <f t="shared" si="765"/>
        <v>0</v>
      </c>
      <c r="M1922" s="147">
        <f t="shared" si="765"/>
        <v>40829.089999999997</v>
      </c>
      <c r="N1922" s="147">
        <f t="shared" si="765"/>
        <v>0</v>
      </c>
      <c r="O1922" s="147">
        <f t="shared" si="765"/>
        <v>0</v>
      </c>
      <c r="P1922" s="147">
        <f t="shared" si="765"/>
        <v>0</v>
      </c>
    </row>
    <row r="1923" spans="1:16" s="1" customFormat="1" ht="30">
      <c r="A1923" s="148"/>
      <c r="B1923" s="154" t="s">
        <v>46</v>
      </c>
      <c r="C1923" s="147">
        <f t="shared" si="764"/>
        <v>0</v>
      </c>
      <c r="D1923" s="147">
        <f t="shared" si="764"/>
        <v>0</v>
      </c>
      <c r="E1923" s="147">
        <f t="shared" si="764"/>
        <v>0</v>
      </c>
      <c r="F1923" s="147">
        <f t="shared" si="764"/>
        <v>0</v>
      </c>
      <c r="G1923" s="147">
        <f t="shared" si="764"/>
        <v>0</v>
      </c>
      <c r="H1923" s="31"/>
      <c r="I1923" s="31"/>
      <c r="J1923" s="31"/>
      <c r="K1923" s="31"/>
      <c r="L1923" s="147">
        <f t="shared" si="765"/>
        <v>0</v>
      </c>
      <c r="M1923" s="147">
        <f t="shared" si="765"/>
        <v>0</v>
      </c>
      <c r="N1923" s="147">
        <f t="shared" si="765"/>
        <v>0</v>
      </c>
      <c r="O1923" s="147">
        <f t="shared" si="765"/>
        <v>0</v>
      </c>
      <c r="P1923" s="147">
        <f t="shared" si="765"/>
        <v>0</v>
      </c>
    </row>
    <row r="1924" spans="1:16" s="1" customFormat="1">
      <c r="A1924" s="148"/>
      <c r="B1924" s="154" t="s">
        <v>47</v>
      </c>
      <c r="C1924" s="147">
        <f t="shared" si="764"/>
        <v>510</v>
      </c>
      <c r="D1924" s="147">
        <f t="shared" si="764"/>
        <v>105911.06999999999</v>
      </c>
      <c r="E1924" s="147">
        <f t="shared" si="764"/>
        <v>0</v>
      </c>
      <c r="F1924" s="147">
        <f t="shared" si="764"/>
        <v>510</v>
      </c>
      <c r="G1924" s="147">
        <f t="shared" si="764"/>
        <v>0</v>
      </c>
      <c r="H1924" s="31"/>
      <c r="I1924" s="31"/>
      <c r="J1924" s="31"/>
      <c r="K1924" s="31"/>
      <c r="L1924" s="147">
        <f t="shared" si="765"/>
        <v>0</v>
      </c>
      <c r="M1924" s="147">
        <f t="shared" si="765"/>
        <v>105911.06999999999</v>
      </c>
      <c r="N1924" s="147">
        <f t="shared" si="765"/>
        <v>0</v>
      </c>
      <c r="O1924" s="147">
        <f t="shared" si="765"/>
        <v>0</v>
      </c>
      <c r="P1924" s="147">
        <f t="shared" si="765"/>
        <v>0</v>
      </c>
    </row>
    <row r="1925" spans="1:16" s="1" customFormat="1" ht="36.75" customHeight="1">
      <c r="A1925" s="211" t="s">
        <v>3</v>
      </c>
      <c r="B1925" s="213" t="s">
        <v>4</v>
      </c>
      <c r="C1925" s="213" t="s">
        <v>5</v>
      </c>
      <c r="D1925" s="10" t="s">
        <v>6</v>
      </c>
      <c r="E1925" s="215" t="s">
        <v>7</v>
      </c>
      <c r="F1925" s="216"/>
      <c r="G1925" s="217"/>
      <c r="H1925" s="218" t="s">
        <v>8</v>
      </c>
      <c r="I1925" s="218"/>
      <c r="J1925" s="218"/>
      <c r="K1925" s="11"/>
      <c r="L1925" s="219" t="s">
        <v>9</v>
      </c>
      <c r="M1925" s="12" t="s">
        <v>6</v>
      </c>
      <c r="N1925" s="208" t="s">
        <v>10</v>
      </c>
      <c r="O1925" s="209"/>
      <c r="P1925" s="210"/>
    </row>
    <row r="1926" spans="1:16" s="1" customFormat="1" ht="47.25" customHeight="1">
      <c r="A1926" s="212"/>
      <c r="B1926" s="214"/>
      <c r="C1926" s="214"/>
      <c r="D1926" s="13" t="s">
        <v>11</v>
      </c>
      <c r="E1926" s="13" t="s">
        <v>12</v>
      </c>
      <c r="F1926" s="13" t="s">
        <v>13</v>
      </c>
      <c r="G1926" s="13" t="s">
        <v>14</v>
      </c>
      <c r="H1926" s="14" t="s">
        <v>15</v>
      </c>
      <c r="I1926" s="14" t="s">
        <v>16</v>
      </c>
      <c r="J1926" s="14" t="s">
        <v>17</v>
      </c>
      <c r="K1926" s="14" t="s">
        <v>18</v>
      </c>
      <c r="L1926" s="220"/>
      <c r="M1926" s="15" t="s">
        <v>11</v>
      </c>
      <c r="N1926" s="15" t="s">
        <v>12</v>
      </c>
      <c r="O1926" s="15" t="s">
        <v>13</v>
      </c>
      <c r="P1926" s="15" t="s">
        <v>14</v>
      </c>
    </row>
    <row r="1927" spans="1:16" s="1" customFormat="1" ht="30">
      <c r="A1927" s="157"/>
      <c r="B1927" s="158" t="s">
        <v>107</v>
      </c>
      <c r="C1927" s="159">
        <f t="shared" ref="C1927:G1927" si="766">C1928+C1929+C1930+C1931+C1932+C1933+C1934+C1935+C1940+C1941+C1942+C1943+C1944+C1945+C1946+C1947</f>
        <v>48701247.019999996</v>
      </c>
      <c r="D1927" s="159">
        <f t="shared" si="766"/>
        <v>54498463.109999992</v>
      </c>
      <c r="E1927" s="159">
        <f t="shared" si="766"/>
        <v>24488405.679999996</v>
      </c>
      <c r="F1927" s="159">
        <f t="shared" si="766"/>
        <v>13332990.309999999</v>
      </c>
      <c r="G1927" s="159">
        <f t="shared" si="766"/>
        <v>10879851.030000001</v>
      </c>
      <c r="H1927" s="160">
        <f>H637+H1507+H1717+H1897</f>
        <v>0</v>
      </c>
      <c r="I1927" s="160">
        <f>I637+I1507+I1717+I1897</f>
        <v>0</v>
      </c>
      <c r="J1927" s="160">
        <f>J637+J1507+J1717+J1897</f>
        <v>0</v>
      </c>
      <c r="K1927" s="160">
        <f>K637+K1507+K1717+K1897</f>
        <v>0</v>
      </c>
      <c r="L1927" s="159">
        <f t="shared" ref="L1927:P1927" si="767">L1928+L1929+L1930+L1931+L1932+L1933+L1934+L1935+L1940+L1941+L1942+L1943+L1944+L1945+L1946+L1947</f>
        <v>0.01</v>
      </c>
      <c r="M1927" s="159">
        <f t="shared" si="767"/>
        <v>54498463.109999992</v>
      </c>
      <c r="N1927" s="159">
        <f t="shared" si="767"/>
        <v>0</v>
      </c>
      <c r="O1927" s="159">
        <f t="shared" si="767"/>
        <v>0</v>
      </c>
      <c r="P1927" s="159">
        <f t="shared" si="767"/>
        <v>0.01</v>
      </c>
    </row>
    <row r="1928" spans="1:16" s="1" customFormat="1">
      <c r="A1928" s="161"/>
      <c r="B1928" s="162" t="s">
        <v>20</v>
      </c>
      <c r="C1928" s="160">
        <f t="shared" ref="C1928:G1934" si="768">C638+C1508+C1718+C1898</f>
        <v>16083992.079999996</v>
      </c>
      <c r="D1928" s="160">
        <f t="shared" si="768"/>
        <v>0</v>
      </c>
      <c r="E1928" s="160">
        <f t="shared" si="768"/>
        <v>0</v>
      </c>
      <c r="F1928" s="62">
        <f t="shared" si="768"/>
        <v>7079675.580000001</v>
      </c>
      <c r="G1928" s="62">
        <f t="shared" si="768"/>
        <v>9004316.5000000019</v>
      </c>
      <c r="H1928" s="24"/>
      <c r="I1928" s="24"/>
      <c r="J1928" s="24"/>
      <c r="K1928" s="24"/>
      <c r="L1928" s="160">
        <f t="shared" ref="L1928:P1934" si="769">L638+L1508+L1718+L1898</f>
        <v>0.01</v>
      </c>
      <c r="M1928" s="160">
        <f t="shared" si="769"/>
        <v>0</v>
      </c>
      <c r="N1928" s="160">
        <f t="shared" si="769"/>
        <v>0</v>
      </c>
      <c r="O1928" s="62">
        <f t="shared" si="769"/>
        <v>0</v>
      </c>
      <c r="P1928" s="62">
        <f t="shared" si="769"/>
        <v>0.01</v>
      </c>
    </row>
    <row r="1929" spans="1:16" s="1" customFormat="1">
      <c r="A1929" s="163"/>
      <c r="B1929" s="164" t="s">
        <v>21</v>
      </c>
      <c r="C1929" s="160">
        <f t="shared" si="768"/>
        <v>3558763.0799999996</v>
      </c>
      <c r="D1929" s="160">
        <f t="shared" si="768"/>
        <v>1401706.53</v>
      </c>
      <c r="E1929" s="160">
        <f t="shared" si="768"/>
        <v>3467377.6299999994</v>
      </c>
      <c r="F1929" s="62">
        <f t="shared" si="768"/>
        <v>91385.45</v>
      </c>
      <c r="G1929" s="160">
        <f t="shared" si="768"/>
        <v>0</v>
      </c>
      <c r="H1929" s="31"/>
      <c r="I1929" s="31"/>
      <c r="J1929" s="31"/>
      <c r="K1929" s="31"/>
      <c r="L1929" s="160">
        <f t="shared" si="769"/>
        <v>0</v>
      </c>
      <c r="M1929" s="160">
        <f t="shared" si="769"/>
        <v>1401706.53</v>
      </c>
      <c r="N1929" s="160">
        <f t="shared" si="769"/>
        <v>0</v>
      </c>
      <c r="O1929" s="62">
        <f t="shared" si="769"/>
        <v>0</v>
      </c>
      <c r="P1929" s="160">
        <f t="shared" si="769"/>
        <v>0</v>
      </c>
    </row>
    <row r="1930" spans="1:16" s="1" customFormat="1">
      <c r="A1930" s="163"/>
      <c r="B1930" s="164" t="s">
        <v>22</v>
      </c>
      <c r="C1930" s="160">
        <f t="shared" si="768"/>
        <v>450</v>
      </c>
      <c r="D1930" s="62">
        <f t="shared" si="768"/>
        <v>294769.29000000004</v>
      </c>
      <c r="E1930" s="62">
        <f t="shared" si="768"/>
        <v>450</v>
      </c>
      <c r="F1930" s="160">
        <f t="shared" si="768"/>
        <v>0</v>
      </c>
      <c r="G1930" s="160">
        <f t="shared" si="768"/>
        <v>0</v>
      </c>
      <c r="H1930" s="31"/>
      <c r="I1930" s="31"/>
      <c r="J1930" s="31"/>
      <c r="K1930" s="31"/>
      <c r="L1930" s="160">
        <f t="shared" si="769"/>
        <v>0</v>
      </c>
      <c r="M1930" s="62">
        <f t="shared" si="769"/>
        <v>294769.29000000004</v>
      </c>
      <c r="N1930" s="62">
        <f t="shared" si="769"/>
        <v>0</v>
      </c>
      <c r="O1930" s="160">
        <f t="shared" si="769"/>
        <v>0</v>
      </c>
      <c r="P1930" s="160">
        <f t="shared" si="769"/>
        <v>0</v>
      </c>
    </row>
    <row r="1931" spans="1:16" s="1" customFormat="1">
      <c r="A1931" s="163"/>
      <c r="B1931" s="164" t="s">
        <v>23</v>
      </c>
      <c r="C1931" s="160">
        <f t="shared" si="768"/>
        <v>1553265.8699999999</v>
      </c>
      <c r="D1931" s="62">
        <f t="shared" si="768"/>
        <v>1198689.1600000001</v>
      </c>
      <c r="E1931" s="62">
        <f t="shared" si="768"/>
        <v>1553265.8699999999</v>
      </c>
      <c r="F1931" s="160">
        <f t="shared" si="768"/>
        <v>0</v>
      </c>
      <c r="G1931" s="160">
        <f t="shared" si="768"/>
        <v>0</v>
      </c>
      <c r="H1931" s="31"/>
      <c r="I1931" s="31"/>
      <c r="J1931" s="31"/>
      <c r="K1931" s="31"/>
      <c r="L1931" s="160">
        <f t="shared" si="769"/>
        <v>0</v>
      </c>
      <c r="M1931" s="62">
        <f t="shared" si="769"/>
        <v>1198689.1600000001</v>
      </c>
      <c r="N1931" s="62">
        <f t="shared" si="769"/>
        <v>0</v>
      </c>
      <c r="O1931" s="160">
        <f t="shared" si="769"/>
        <v>0</v>
      </c>
      <c r="P1931" s="160">
        <f t="shared" si="769"/>
        <v>0</v>
      </c>
    </row>
    <row r="1932" spans="1:16" s="1" customFormat="1">
      <c r="A1932" s="163"/>
      <c r="B1932" s="164" t="s">
        <v>24</v>
      </c>
      <c r="C1932" s="160">
        <f t="shared" si="768"/>
        <v>5092784.1100000003</v>
      </c>
      <c r="D1932" s="62">
        <f t="shared" si="768"/>
        <v>10410733.719999999</v>
      </c>
      <c r="E1932" s="62">
        <f t="shared" si="768"/>
        <v>4632462.3100000005</v>
      </c>
      <c r="F1932" s="62">
        <f t="shared" si="768"/>
        <v>460272.14</v>
      </c>
      <c r="G1932" s="62">
        <f t="shared" si="768"/>
        <v>49.66</v>
      </c>
      <c r="H1932" s="31"/>
      <c r="I1932" s="31"/>
      <c r="J1932" s="31"/>
      <c r="K1932" s="31"/>
      <c r="L1932" s="160">
        <f t="shared" si="769"/>
        <v>0</v>
      </c>
      <c r="M1932" s="62">
        <f t="shared" si="769"/>
        <v>10410733.719999999</v>
      </c>
      <c r="N1932" s="62">
        <f t="shared" si="769"/>
        <v>0</v>
      </c>
      <c r="O1932" s="62">
        <f t="shared" si="769"/>
        <v>0</v>
      </c>
      <c r="P1932" s="62">
        <f t="shared" si="769"/>
        <v>0</v>
      </c>
    </row>
    <row r="1933" spans="1:16" s="1" customFormat="1">
      <c r="A1933" s="163"/>
      <c r="B1933" s="165" t="s">
        <v>25</v>
      </c>
      <c r="C1933" s="160">
        <f t="shared" si="768"/>
        <v>134384.45000000001</v>
      </c>
      <c r="D1933" s="62">
        <f t="shared" si="768"/>
        <v>719866.11</v>
      </c>
      <c r="E1933" s="62">
        <f t="shared" si="768"/>
        <v>134384.45000000001</v>
      </c>
      <c r="F1933" s="160">
        <f t="shared" si="768"/>
        <v>0</v>
      </c>
      <c r="G1933" s="160">
        <f t="shared" si="768"/>
        <v>0</v>
      </c>
      <c r="H1933" s="31"/>
      <c r="I1933" s="31"/>
      <c r="J1933" s="31"/>
      <c r="K1933" s="31"/>
      <c r="L1933" s="160">
        <f t="shared" si="769"/>
        <v>0</v>
      </c>
      <c r="M1933" s="62">
        <f t="shared" si="769"/>
        <v>719866.11</v>
      </c>
      <c r="N1933" s="62">
        <f t="shared" si="769"/>
        <v>0</v>
      </c>
      <c r="O1933" s="160">
        <f t="shared" si="769"/>
        <v>0</v>
      </c>
      <c r="P1933" s="160">
        <f t="shared" si="769"/>
        <v>0</v>
      </c>
    </row>
    <row r="1934" spans="1:16" s="1" customFormat="1">
      <c r="A1934" s="163"/>
      <c r="B1934" s="164" t="s">
        <v>26</v>
      </c>
      <c r="C1934" s="160">
        <f t="shared" si="768"/>
        <v>11518.9</v>
      </c>
      <c r="D1934" s="62">
        <f t="shared" si="768"/>
        <v>21558.799999999999</v>
      </c>
      <c r="E1934" s="62">
        <f t="shared" si="768"/>
        <v>11518.9</v>
      </c>
      <c r="F1934" s="160">
        <f t="shared" si="768"/>
        <v>0</v>
      </c>
      <c r="G1934" s="160">
        <f t="shared" si="768"/>
        <v>0</v>
      </c>
      <c r="H1934" s="31"/>
      <c r="I1934" s="31"/>
      <c r="J1934" s="31"/>
      <c r="K1934" s="31"/>
      <c r="L1934" s="160">
        <f t="shared" si="769"/>
        <v>0</v>
      </c>
      <c r="M1934" s="62">
        <f t="shared" si="769"/>
        <v>21558.799999999999</v>
      </c>
      <c r="N1934" s="62">
        <f t="shared" si="769"/>
        <v>0</v>
      </c>
      <c r="O1934" s="160">
        <f t="shared" si="769"/>
        <v>0</v>
      </c>
      <c r="P1934" s="160">
        <f t="shared" si="769"/>
        <v>0</v>
      </c>
    </row>
    <row r="1935" spans="1:16" s="1" customFormat="1" ht="30">
      <c r="A1935" s="163"/>
      <c r="B1935" s="166" t="s">
        <v>27</v>
      </c>
      <c r="C1935" s="167">
        <f t="shared" ref="C1935:G1935" si="770">SUM(C1936:C1939)</f>
        <v>7928730.2299999995</v>
      </c>
      <c r="D1935" s="63">
        <f t="shared" si="770"/>
        <v>8129027.9199999999</v>
      </c>
      <c r="E1935" s="63">
        <f t="shared" si="770"/>
        <v>7836930.2299999995</v>
      </c>
      <c r="F1935" s="63">
        <f t="shared" si="770"/>
        <v>91800</v>
      </c>
      <c r="G1935" s="167">
        <f t="shared" si="770"/>
        <v>0</v>
      </c>
      <c r="H1935" s="31"/>
      <c r="I1935" s="31"/>
      <c r="J1935" s="31"/>
      <c r="K1935" s="31"/>
      <c r="L1935" s="167">
        <f t="shared" ref="L1935:P1935" si="771">SUM(L1936:L1939)</f>
        <v>0</v>
      </c>
      <c r="M1935" s="63">
        <f t="shared" si="771"/>
        <v>8129027.9199999999</v>
      </c>
      <c r="N1935" s="63">
        <f t="shared" si="771"/>
        <v>0</v>
      </c>
      <c r="O1935" s="63">
        <f t="shared" si="771"/>
        <v>0</v>
      </c>
      <c r="P1935" s="167">
        <f t="shared" si="771"/>
        <v>0</v>
      </c>
    </row>
    <row r="1936" spans="1:16" s="1" customFormat="1">
      <c r="A1936" s="163"/>
      <c r="B1936" s="168" t="s">
        <v>28</v>
      </c>
      <c r="C1936" s="160">
        <f t="shared" ref="C1936:G1946" si="772">C646+C1516+C1726+C1906</f>
        <v>5891374.8999999994</v>
      </c>
      <c r="D1936" s="62">
        <f t="shared" si="772"/>
        <v>3489823.98</v>
      </c>
      <c r="E1936" s="62">
        <f t="shared" si="772"/>
        <v>5891374.8999999994</v>
      </c>
      <c r="F1936" s="160">
        <f t="shared" si="772"/>
        <v>0</v>
      </c>
      <c r="G1936" s="160">
        <f t="shared" si="772"/>
        <v>0</v>
      </c>
      <c r="H1936" s="31"/>
      <c r="I1936" s="31"/>
      <c r="J1936" s="31"/>
      <c r="K1936" s="31"/>
      <c r="L1936" s="160">
        <f t="shared" ref="L1936:P1946" si="773">L646+L1516+L1726+L1906</f>
        <v>0</v>
      </c>
      <c r="M1936" s="62">
        <f t="shared" si="773"/>
        <v>3489823.98</v>
      </c>
      <c r="N1936" s="62">
        <f t="shared" si="773"/>
        <v>0</v>
      </c>
      <c r="O1936" s="160">
        <f t="shared" si="773"/>
        <v>0</v>
      </c>
      <c r="P1936" s="160">
        <f t="shared" si="773"/>
        <v>0</v>
      </c>
    </row>
    <row r="1937" spans="1:16" s="1" customFormat="1">
      <c r="A1937" s="163"/>
      <c r="B1937" s="168" t="s">
        <v>29</v>
      </c>
      <c r="C1937" s="160">
        <f t="shared" si="772"/>
        <v>815114.37</v>
      </c>
      <c r="D1937" s="62">
        <f t="shared" si="772"/>
        <v>2302527.75</v>
      </c>
      <c r="E1937" s="62">
        <f t="shared" si="772"/>
        <v>815114.37</v>
      </c>
      <c r="F1937" s="160">
        <f t="shared" si="772"/>
        <v>0</v>
      </c>
      <c r="G1937" s="160">
        <f t="shared" si="772"/>
        <v>0</v>
      </c>
      <c r="H1937" s="31"/>
      <c r="I1937" s="31"/>
      <c r="J1937" s="31"/>
      <c r="K1937" s="31"/>
      <c r="L1937" s="160">
        <f t="shared" si="773"/>
        <v>0</v>
      </c>
      <c r="M1937" s="62">
        <f t="shared" si="773"/>
        <v>2302527.75</v>
      </c>
      <c r="N1937" s="62">
        <f t="shared" si="773"/>
        <v>0</v>
      </c>
      <c r="O1937" s="160">
        <f t="shared" si="773"/>
        <v>0</v>
      </c>
      <c r="P1937" s="160">
        <f t="shared" si="773"/>
        <v>0</v>
      </c>
    </row>
    <row r="1938" spans="1:16" s="1" customFormat="1">
      <c r="A1938" s="163"/>
      <c r="B1938" s="168" t="s">
        <v>30</v>
      </c>
      <c r="C1938" s="160">
        <f t="shared" si="772"/>
        <v>800753.84</v>
      </c>
      <c r="D1938" s="62">
        <f t="shared" si="772"/>
        <v>1598324.68</v>
      </c>
      <c r="E1938" s="62">
        <f t="shared" si="772"/>
        <v>708953.84</v>
      </c>
      <c r="F1938" s="62">
        <f t="shared" si="772"/>
        <v>91800</v>
      </c>
      <c r="G1938" s="160">
        <f t="shared" si="772"/>
        <v>0</v>
      </c>
      <c r="H1938" s="31"/>
      <c r="I1938" s="31"/>
      <c r="J1938" s="31"/>
      <c r="K1938" s="31"/>
      <c r="L1938" s="160">
        <f t="shared" si="773"/>
        <v>0</v>
      </c>
      <c r="M1938" s="62">
        <f t="shared" si="773"/>
        <v>1598324.68</v>
      </c>
      <c r="N1938" s="62">
        <f t="shared" si="773"/>
        <v>0</v>
      </c>
      <c r="O1938" s="62">
        <f t="shared" si="773"/>
        <v>0</v>
      </c>
      <c r="P1938" s="160">
        <f t="shared" si="773"/>
        <v>0</v>
      </c>
    </row>
    <row r="1939" spans="1:16" s="1" customFormat="1">
      <c r="A1939" s="163"/>
      <c r="B1939" s="168" t="s">
        <v>31</v>
      </c>
      <c r="C1939" s="160">
        <f t="shared" si="772"/>
        <v>421487.12000000005</v>
      </c>
      <c r="D1939" s="62">
        <f t="shared" si="772"/>
        <v>738351.51</v>
      </c>
      <c r="E1939" s="62">
        <f t="shared" si="772"/>
        <v>421487.12000000005</v>
      </c>
      <c r="F1939" s="160">
        <f t="shared" si="772"/>
        <v>0</v>
      </c>
      <c r="G1939" s="160">
        <f t="shared" si="772"/>
        <v>0</v>
      </c>
      <c r="H1939" s="31"/>
      <c r="I1939" s="31"/>
      <c r="J1939" s="31"/>
      <c r="K1939" s="31"/>
      <c r="L1939" s="160">
        <f t="shared" si="773"/>
        <v>0</v>
      </c>
      <c r="M1939" s="62">
        <f t="shared" si="773"/>
        <v>738351.51</v>
      </c>
      <c r="N1939" s="62">
        <f t="shared" si="773"/>
        <v>0</v>
      </c>
      <c r="O1939" s="160">
        <f t="shared" si="773"/>
        <v>0</v>
      </c>
      <c r="P1939" s="160">
        <f t="shared" si="773"/>
        <v>0</v>
      </c>
    </row>
    <row r="1940" spans="1:16" s="1" customFormat="1" ht="30">
      <c r="A1940" s="163"/>
      <c r="B1940" s="169" t="s">
        <v>32</v>
      </c>
      <c r="C1940" s="160">
        <f t="shared" si="772"/>
        <v>0</v>
      </c>
      <c r="D1940" s="62">
        <f t="shared" si="772"/>
        <v>42153</v>
      </c>
      <c r="E1940" s="62">
        <f t="shared" si="772"/>
        <v>0</v>
      </c>
      <c r="F1940" s="160">
        <f t="shared" si="772"/>
        <v>0</v>
      </c>
      <c r="G1940" s="160">
        <f t="shared" si="772"/>
        <v>0</v>
      </c>
      <c r="H1940" s="31"/>
      <c r="I1940" s="31"/>
      <c r="J1940" s="31"/>
      <c r="K1940" s="31"/>
      <c r="L1940" s="160">
        <f t="shared" si="773"/>
        <v>0</v>
      </c>
      <c r="M1940" s="62">
        <f t="shared" si="773"/>
        <v>42153</v>
      </c>
      <c r="N1940" s="62">
        <f t="shared" si="773"/>
        <v>0</v>
      </c>
      <c r="O1940" s="160">
        <f t="shared" si="773"/>
        <v>0</v>
      </c>
      <c r="P1940" s="160">
        <f t="shared" si="773"/>
        <v>0</v>
      </c>
    </row>
    <row r="1941" spans="1:16" s="1" customFormat="1" ht="30">
      <c r="A1941" s="163"/>
      <c r="B1941" s="169" t="s">
        <v>33</v>
      </c>
      <c r="C1941" s="160">
        <f t="shared" si="772"/>
        <v>853155.56</v>
      </c>
      <c r="D1941" s="62">
        <f t="shared" si="772"/>
        <v>1011579.23</v>
      </c>
      <c r="E1941" s="62">
        <f t="shared" si="772"/>
        <v>816181.81</v>
      </c>
      <c r="F1941" s="62">
        <f t="shared" si="772"/>
        <v>36973.75</v>
      </c>
      <c r="G1941" s="160">
        <f t="shared" si="772"/>
        <v>0</v>
      </c>
      <c r="H1941" s="31"/>
      <c r="I1941" s="31"/>
      <c r="J1941" s="31"/>
      <c r="K1941" s="31"/>
      <c r="L1941" s="160">
        <f t="shared" si="773"/>
        <v>0</v>
      </c>
      <c r="M1941" s="62">
        <f t="shared" si="773"/>
        <v>1011579.23</v>
      </c>
      <c r="N1941" s="62">
        <f t="shared" si="773"/>
        <v>0</v>
      </c>
      <c r="O1941" s="62">
        <f t="shared" si="773"/>
        <v>0</v>
      </c>
      <c r="P1941" s="160">
        <f t="shared" si="773"/>
        <v>0</v>
      </c>
    </row>
    <row r="1942" spans="1:16" s="1" customFormat="1" ht="30">
      <c r="A1942" s="163"/>
      <c r="B1942" s="170" t="s">
        <v>34</v>
      </c>
      <c r="C1942" s="160">
        <f t="shared" si="772"/>
        <v>265288</v>
      </c>
      <c r="D1942" s="62">
        <f t="shared" si="772"/>
        <v>41049</v>
      </c>
      <c r="E1942" s="62">
        <f t="shared" si="772"/>
        <v>35288</v>
      </c>
      <c r="F1942" s="62">
        <f t="shared" si="772"/>
        <v>230000</v>
      </c>
      <c r="G1942" s="160">
        <f t="shared" si="772"/>
        <v>0</v>
      </c>
      <c r="H1942" s="31"/>
      <c r="I1942" s="31"/>
      <c r="J1942" s="31"/>
      <c r="K1942" s="31"/>
      <c r="L1942" s="160">
        <f t="shared" si="773"/>
        <v>0</v>
      </c>
      <c r="M1942" s="62">
        <f t="shared" si="773"/>
        <v>41049</v>
      </c>
      <c r="N1942" s="62">
        <f t="shared" si="773"/>
        <v>0</v>
      </c>
      <c r="O1942" s="62">
        <f t="shared" si="773"/>
        <v>0</v>
      </c>
      <c r="P1942" s="160">
        <f t="shared" si="773"/>
        <v>0</v>
      </c>
    </row>
    <row r="1943" spans="1:16" s="1" customFormat="1">
      <c r="A1943" s="163"/>
      <c r="B1943" s="170" t="s">
        <v>35</v>
      </c>
      <c r="C1943" s="160">
        <f t="shared" si="772"/>
        <v>2330242.64</v>
      </c>
      <c r="D1943" s="62">
        <f t="shared" si="772"/>
        <v>1964689.67</v>
      </c>
      <c r="E1943" s="62">
        <f t="shared" si="772"/>
        <v>743838.92</v>
      </c>
      <c r="F1943" s="62">
        <f t="shared" si="772"/>
        <v>57583.509999999995</v>
      </c>
      <c r="G1943" s="62">
        <f t="shared" si="772"/>
        <v>1528820.21</v>
      </c>
      <c r="H1943" s="31"/>
      <c r="I1943" s="31"/>
      <c r="J1943" s="31"/>
      <c r="K1943" s="31"/>
      <c r="L1943" s="160">
        <f t="shared" si="773"/>
        <v>0</v>
      </c>
      <c r="M1943" s="62">
        <f t="shared" si="773"/>
        <v>1964689.67</v>
      </c>
      <c r="N1943" s="62">
        <f t="shared" si="773"/>
        <v>0</v>
      </c>
      <c r="O1943" s="62">
        <f t="shared" si="773"/>
        <v>0</v>
      </c>
      <c r="P1943" s="62">
        <f t="shared" si="773"/>
        <v>0</v>
      </c>
    </row>
    <row r="1944" spans="1:16" s="1" customFormat="1" ht="30">
      <c r="A1944" s="163"/>
      <c r="B1944" s="165" t="s">
        <v>36</v>
      </c>
      <c r="C1944" s="160">
        <f t="shared" si="772"/>
        <v>0</v>
      </c>
      <c r="D1944" s="160">
        <f t="shared" si="772"/>
        <v>0</v>
      </c>
      <c r="E1944" s="160">
        <f t="shared" si="772"/>
        <v>0</v>
      </c>
      <c r="F1944" s="160">
        <f t="shared" si="772"/>
        <v>0</v>
      </c>
      <c r="G1944" s="62">
        <f t="shared" si="772"/>
        <v>0</v>
      </c>
      <c r="H1944" s="31"/>
      <c r="I1944" s="31"/>
      <c r="J1944" s="31"/>
      <c r="K1944" s="31"/>
      <c r="L1944" s="160">
        <f t="shared" si="773"/>
        <v>0</v>
      </c>
      <c r="M1944" s="160">
        <f t="shared" si="773"/>
        <v>0</v>
      </c>
      <c r="N1944" s="160">
        <f t="shared" si="773"/>
        <v>0</v>
      </c>
      <c r="O1944" s="160">
        <f t="shared" si="773"/>
        <v>0</v>
      </c>
      <c r="P1944" s="62">
        <f t="shared" si="773"/>
        <v>0</v>
      </c>
    </row>
    <row r="1945" spans="1:16" s="1" customFormat="1" ht="39.75" customHeight="1">
      <c r="A1945" s="163"/>
      <c r="B1945" s="169" t="s">
        <v>37</v>
      </c>
      <c r="C1945" s="160">
        <f t="shared" si="772"/>
        <v>1965639.88</v>
      </c>
      <c r="D1945" s="62">
        <f t="shared" si="772"/>
        <v>1011430.31</v>
      </c>
      <c r="E1945" s="62">
        <f t="shared" si="772"/>
        <v>1965639.88</v>
      </c>
      <c r="F1945" s="160">
        <f t="shared" si="772"/>
        <v>0</v>
      </c>
      <c r="G1945" s="160">
        <f t="shared" si="772"/>
        <v>0</v>
      </c>
      <c r="H1945" s="31"/>
      <c r="I1945" s="31"/>
      <c r="J1945" s="31"/>
      <c r="K1945" s="31"/>
      <c r="L1945" s="160">
        <f t="shared" si="773"/>
        <v>0</v>
      </c>
      <c r="M1945" s="62">
        <f t="shared" si="773"/>
        <v>1011430.31</v>
      </c>
      <c r="N1945" s="62">
        <f t="shared" si="773"/>
        <v>0</v>
      </c>
      <c r="O1945" s="160">
        <f t="shared" si="773"/>
        <v>0</v>
      </c>
      <c r="P1945" s="160">
        <f t="shared" si="773"/>
        <v>0</v>
      </c>
    </row>
    <row r="1946" spans="1:16" s="1" customFormat="1" ht="30">
      <c r="A1946" s="163"/>
      <c r="B1946" s="169" t="s">
        <v>38</v>
      </c>
      <c r="C1946" s="160">
        <f t="shared" si="772"/>
        <v>307905.43</v>
      </c>
      <c r="D1946" s="62">
        <f t="shared" si="772"/>
        <v>23213233.829999998</v>
      </c>
      <c r="E1946" s="62">
        <f t="shared" si="772"/>
        <v>72198.7</v>
      </c>
      <c r="F1946" s="62">
        <f t="shared" si="772"/>
        <v>18690</v>
      </c>
      <c r="G1946" s="62">
        <f t="shared" si="772"/>
        <v>217016.73</v>
      </c>
      <c r="H1946" s="31"/>
      <c r="I1946" s="31"/>
      <c r="J1946" s="31"/>
      <c r="K1946" s="31"/>
      <c r="L1946" s="160">
        <f t="shared" si="773"/>
        <v>0</v>
      </c>
      <c r="M1946" s="62">
        <f t="shared" si="773"/>
        <v>23213233.829999998</v>
      </c>
      <c r="N1946" s="62">
        <f t="shared" si="773"/>
        <v>0</v>
      </c>
      <c r="O1946" s="62">
        <f t="shared" si="773"/>
        <v>0</v>
      </c>
      <c r="P1946" s="62">
        <f t="shared" si="773"/>
        <v>0</v>
      </c>
    </row>
    <row r="1947" spans="1:16" s="1" customFormat="1" ht="30">
      <c r="A1947" s="163"/>
      <c r="B1947" s="171" t="s">
        <v>39</v>
      </c>
      <c r="C1947" s="167">
        <f t="shared" ref="C1947:G1947" si="774">SUM(C1948:C1954)</f>
        <v>8615126.790000001</v>
      </c>
      <c r="D1947" s="63">
        <f t="shared" si="774"/>
        <v>5037976.54</v>
      </c>
      <c r="E1947" s="63">
        <f t="shared" si="774"/>
        <v>3218868.9799999995</v>
      </c>
      <c r="F1947" s="63">
        <f t="shared" si="774"/>
        <v>5266609.879999999</v>
      </c>
      <c r="G1947" s="63">
        <f t="shared" si="774"/>
        <v>129647.93</v>
      </c>
      <c r="H1947" s="31"/>
      <c r="I1947" s="31"/>
      <c r="J1947" s="31"/>
      <c r="K1947" s="31"/>
      <c r="L1947" s="167">
        <f t="shared" ref="L1947:P1947" si="775">SUM(L1948:L1954)</f>
        <v>0</v>
      </c>
      <c r="M1947" s="63">
        <f t="shared" si="775"/>
        <v>5037976.54</v>
      </c>
      <c r="N1947" s="63">
        <f t="shared" si="775"/>
        <v>0</v>
      </c>
      <c r="O1947" s="63">
        <f t="shared" si="775"/>
        <v>0</v>
      </c>
      <c r="P1947" s="63">
        <f t="shared" si="775"/>
        <v>0</v>
      </c>
    </row>
    <row r="1948" spans="1:16" s="1" customFormat="1" ht="30">
      <c r="A1948" s="163" t="s">
        <v>40</v>
      </c>
      <c r="B1948" s="169" t="s">
        <v>41</v>
      </c>
      <c r="C1948" s="160">
        <f t="shared" ref="C1948:G1954" si="776">C658+C1528+C1738+C1918</f>
        <v>0</v>
      </c>
      <c r="D1948" s="62">
        <f t="shared" si="776"/>
        <v>106920.61000000002</v>
      </c>
      <c r="E1948" s="62">
        <f t="shared" si="776"/>
        <v>0</v>
      </c>
      <c r="F1948" s="62">
        <f t="shared" si="776"/>
        <v>0</v>
      </c>
      <c r="G1948" s="160">
        <f t="shared" si="776"/>
        <v>0</v>
      </c>
      <c r="H1948" s="31"/>
      <c r="I1948" s="31"/>
      <c r="J1948" s="31"/>
      <c r="K1948" s="31"/>
      <c r="L1948" s="160">
        <f t="shared" ref="L1948:P1954" si="777">L658+L1528+L1738+L1918</f>
        <v>0</v>
      </c>
      <c r="M1948" s="62">
        <f t="shared" si="777"/>
        <v>106920.61000000002</v>
      </c>
      <c r="N1948" s="62">
        <f t="shared" si="777"/>
        <v>0</v>
      </c>
      <c r="O1948" s="62">
        <f t="shared" si="777"/>
        <v>0</v>
      </c>
      <c r="P1948" s="160">
        <f t="shared" si="777"/>
        <v>0</v>
      </c>
    </row>
    <row r="1949" spans="1:16" s="1" customFormat="1">
      <c r="A1949" s="163"/>
      <c r="B1949" s="169" t="s">
        <v>42</v>
      </c>
      <c r="C1949" s="160">
        <f t="shared" si="776"/>
        <v>41500</v>
      </c>
      <c r="D1949" s="62">
        <f t="shared" si="776"/>
        <v>119582.68999999999</v>
      </c>
      <c r="E1949" s="62">
        <f t="shared" si="776"/>
        <v>41500</v>
      </c>
      <c r="F1949" s="62">
        <f t="shared" si="776"/>
        <v>0</v>
      </c>
      <c r="G1949" s="160">
        <f t="shared" si="776"/>
        <v>0</v>
      </c>
      <c r="H1949" s="31"/>
      <c r="I1949" s="31"/>
      <c r="J1949" s="31"/>
      <c r="K1949" s="31"/>
      <c r="L1949" s="160">
        <f t="shared" si="777"/>
        <v>0</v>
      </c>
      <c r="M1949" s="62">
        <f t="shared" si="777"/>
        <v>119582.68999999999</v>
      </c>
      <c r="N1949" s="62">
        <f t="shared" si="777"/>
        <v>0</v>
      </c>
      <c r="O1949" s="62">
        <f t="shared" si="777"/>
        <v>0</v>
      </c>
      <c r="P1949" s="160">
        <f t="shared" si="777"/>
        <v>0</v>
      </c>
    </row>
    <row r="1950" spans="1:16" s="1" customFormat="1">
      <c r="A1950" s="163"/>
      <c r="B1950" s="169" t="s">
        <v>43</v>
      </c>
      <c r="C1950" s="160">
        <f t="shared" si="776"/>
        <v>0</v>
      </c>
      <c r="D1950" s="62">
        <f t="shared" si="776"/>
        <v>16763.440000000002</v>
      </c>
      <c r="E1950" s="62">
        <f t="shared" si="776"/>
        <v>0</v>
      </c>
      <c r="F1950" s="62">
        <f t="shared" si="776"/>
        <v>0</v>
      </c>
      <c r="G1950" s="160">
        <f t="shared" si="776"/>
        <v>0</v>
      </c>
      <c r="H1950" s="31"/>
      <c r="I1950" s="31"/>
      <c r="J1950" s="31"/>
      <c r="K1950" s="31"/>
      <c r="L1950" s="160">
        <f t="shared" si="777"/>
        <v>0</v>
      </c>
      <c r="M1950" s="62">
        <f t="shared" si="777"/>
        <v>16763.440000000002</v>
      </c>
      <c r="N1950" s="62">
        <f t="shared" si="777"/>
        <v>0</v>
      </c>
      <c r="O1950" s="62">
        <f t="shared" si="777"/>
        <v>0</v>
      </c>
      <c r="P1950" s="160">
        <f t="shared" si="777"/>
        <v>0</v>
      </c>
    </row>
    <row r="1951" spans="1:16" s="1" customFormat="1">
      <c r="A1951" s="163"/>
      <c r="B1951" s="169" t="s">
        <v>44</v>
      </c>
      <c r="C1951" s="160">
        <f t="shared" si="776"/>
        <v>7259939.7000000002</v>
      </c>
      <c r="D1951" s="62">
        <f t="shared" si="776"/>
        <v>1649402.4600000002</v>
      </c>
      <c r="E1951" s="62">
        <f t="shared" si="776"/>
        <v>2628394.7699999996</v>
      </c>
      <c r="F1951" s="62">
        <f t="shared" si="776"/>
        <v>4501896.9999999991</v>
      </c>
      <c r="G1951" s="62">
        <f t="shared" si="776"/>
        <v>129647.93</v>
      </c>
      <c r="H1951" s="31"/>
      <c r="I1951" s="31"/>
      <c r="J1951" s="31"/>
      <c r="K1951" s="31"/>
      <c r="L1951" s="160">
        <f t="shared" si="777"/>
        <v>0</v>
      </c>
      <c r="M1951" s="62">
        <f t="shared" si="777"/>
        <v>1649402.4600000002</v>
      </c>
      <c r="N1951" s="62">
        <f t="shared" si="777"/>
        <v>0</v>
      </c>
      <c r="O1951" s="62">
        <f t="shared" si="777"/>
        <v>0</v>
      </c>
      <c r="P1951" s="62">
        <f t="shared" si="777"/>
        <v>0</v>
      </c>
    </row>
    <row r="1952" spans="1:16" s="1" customFormat="1">
      <c r="A1952" s="163"/>
      <c r="B1952" s="169" t="s">
        <v>45</v>
      </c>
      <c r="C1952" s="160">
        <f t="shared" si="776"/>
        <v>152116.02000000002</v>
      </c>
      <c r="D1952" s="62">
        <f t="shared" si="776"/>
        <v>362859.31999999995</v>
      </c>
      <c r="E1952" s="62">
        <f t="shared" si="776"/>
        <v>152116.02000000002</v>
      </c>
      <c r="F1952" s="62">
        <f t="shared" si="776"/>
        <v>0</v>
      </c>
      <c r="G1952" s="160">
        <f t="shared" si="776"/>
        <v>0</v>
      </c>
      <c r="H1952" s="31"/>
      <c r="I1952" s="31"/>
      <c r="J1952" s="31"/>
      <c r="K1952" s="31"/>
      <c r="L1952" s="160">
        <f t="shared" si="777"/>
        <v>0</v>
      </c>
      <c r="M1952" s="62">
        <f t="shared" si="777"/>
        <v>362859.31999999995</v>
      </c>
      <c r="N1952" s="62">
        <f t="shared" si="777"/>
        <v>0</v>
      </c>
      <c r="O1952" s="62">
        <f t="shared" si="777"/>
        <v>0</v>
      </c>
      <c r="P1952" s="160">
        <f t="shared" si="777"/>
        <v>0</v>
      </c>
    </row>
    <row r="1953" spans="1:16" s="1" customFormat="1" ht="30">
      <c r="A1953" s="163"/>
      <c r="B1953" s="169" t="s">
        <v>46</v>
      </c>
      <c r="C1953" s="160">
        <f t="shared" si="776"/>
        <v>0</v>
      </c>
      <c r="D1953" s="62">
        <f t="shared" si="776"/>
        <v>17500</v>
      </c>
      <c r="E1953" s="62">
        <f t="shared" si="776"/>
        <v>0</v>
      </c>
      <c r="F1953" s="62">
        <f t="shared" si="776"/>
        <v>0</v>
      </c>
      <c r="G1953" s="160">
        <f t="shared" si="776"/>
        <v>0</v>
      </c>
      <c r="H1953" s="31"/>
      <c r="I1953" s="31"/>
      <c r="J1953" s="31"/>
      <c r="K1953" s="31"/>
      <c r="L1953" s="160">
        <f t="shared" si="777"/>
        <v>0</v>
      </c>
      <c r="M1953" s="62">
        <f t="shared" si="777"/>
        <v>17500</v>
      </c>
      <c r="N1953" s="62">
        <f t="shared" si="777"/>
        <v>0</v>
      </c>
      <c r="O1953" s="62">
        <f t="shared" si="777"/>
        <v>0</v>
      </c>
      <c r="P1953" s="160">
        <f t="shared" si="777"/>
        <v>0</v>
      </c>
    </row>
    <row r="1954" spans="1:16" s="1" customFormat="1">
      <c r="A1954" s="163"/>
      <c r="B1954" s="169" t="s">
        <v>47</v>
      </c>
      <c r="C1954" s="160">
        <f t="shared" si="776"/>
        <v>1161571.07</v>
      </c>
      <c r="D1954" s="62">
        <f t="shared" si="776"/>
        <v>2764948.02</v>
      </c>
      <c r="E1954" s="62">
        <f t="shared" si="776"/>
        <v>396858.19</v>
      </c>
      <c r="F1954" s="62">
        <f t="shared" si="776"/>
        <v>764712.88</v>
      </c>
      <c r="G1954" s="160">
        <f t="shared" si="776"/>
        <v>0</v>
      </c>
      <c r="H1954" s="31"/>
      <c r="I1954" s="31"/>
      <c r="J1954" s="31"/>
      <c r="K1954" s="31"/>
      <c r="L1954" s="160">
        <f t="shared" si="777"/>
        <v>0</v>
      </c>
      <c r="M1954" s="62">
        <f t="shared" si="777"/>
        <v>2764948.02</v>
      </c>
      <c r="N1954" s="62">
        <f t="shared" si="777"/>
        <v>0</v>
      </c>
      <c r="O1954" s="62">
        <f t="shared" si="777"/>
        <v>0</v>
      </c>
      <c r="P1954" s="160">
        <f t="shared" si="777"/>
        <v>0</v>
      </c>
    </row>
    <row r="1958" spans="1:16" ht="30" customHeight="1"/>
  </sheetData>
  <mergeCells count="456">
    <mergeCell ref="N1925:P1925"/>
    <mergeCell ref="A1925:A1926"/>
    <mergeCell ref="B1925:B1926"/>
    <mergeCell ref="C1925:C1926"/>
    <mergeCell ref="E1925:G1925"/>
    <mergeCell ref="H1925:J1925"/>
    <mergeCell ref="L1925:L1926"/>
    <mergeCell ref="N1865:P1865"/>
    <mergeCell ref="A1895:A1896"/>
    <mergeCell ref="B1895:B1896"/>
    <mergeCell ref="C1895:C1896"/>
    <mergeCell ref="E1895:G1895"/>
    <mergeCell ref="H1895:J1895"/>
    <mergeCell ref="L1895:L1896"/>
    <mergeCell ref="N1895:P1895"/>
    <mergeCell ref="A1865:A1866"/>
    <mergeCell ref="B1865:B1866"/>
    <mergeCell ref="C1865:C1866"/>
    <mergeCell ref="E1865:G1865"/>
    <mergeCell ref="H1865:J1865"/>
    <mergeCell ref="L1865:L1866"/>
    <mergeCell ref="N1805:P1805"/>
    <mergeCell ref="A1835:A1836"/>
    <mergeCell ref="B1835:B1836"/>
    <mergeCell ref="C1835:C1836"/>
    <mergeCell ref="E1835:G1835"/>
    <mergeCell ref="H1835:J1835"/>
    <mergeCell ref="L1835:L1836"/>
    <mergeCell ref="N1835:P1835"/>
    <mergeCell ref="A1805:A1806"/>
    <mergeCell ref="B1805:B1806"/>
    <mergeCell ref="C1805:C1806"/>
    <mergeCell ref="E1805:G1805"/>
    <mergeCell ref="H1805:J1805"/>
    <mergeCell ref="L1805:L1806"/>
    <mergeCell ref="N1745:P1745"/>
    <mergeCell ref="A1775:A1776"/>
    <mergeCell ref="B1775:B1776"/>
    <mergeCell ref="C1775:C1776"/>
    <mergeCell ref="E1775:G1775"/>
    <mergeCell ref="H1775:J1775"/>
    <mergeCell ref="L1775:L1776"/>
    <mergeCell ref="N1775:P1775"/>
    <mergeCell ref="A1745:A1746"/>
    <mergeCell ref="B1745:B1746"/>
    <mergeCell ref="C1745:C1746"/>
    <mergeCell ref="E1745:G1745"/>
    <mergeCell ref="H1745:J1745"/>
    <mergeCell ref="L1745:L1746"/>
    <mergeCell ref="N1685:P1685"/>
    <mergeCell ref="A1715:A1716"/>
    <mergeCell ref="B1715:B1716"/>
    <mergeCell ref="C1715:C1716"/>
    <mergeCell ref="E1715:G1715"/>
    <mergeCell ref="H1715:J1715"/>
    <mergeCell ref="L1715:L1716"/>
    <mergeCell ref="N1715:P1715"/>
    <mergeCell ref="A1685:A1686"/>
    <mergeCell ref="B1685:B1686"/>
    <mergeCell ref="C1685:C1686"/>
    <mergeCell ref="E1685:G1685"/>
    <mergeCell ref="H1685:J1685"/>
    <mergeCell ref="L1685:L1686"/>
    <mergeCell ref="N1625:P1625"/>
    <mergeCell ref="A1655:A1656"/>
    <mergeCell ref="B1655:B1656"/>
    <mergeCell ref="C1655:C1656"/>
    <mergeCell ref="E1655:G1655"/>
    <mergeCell ref="H1655:J1655"/>
    <mergeCell ref="L1655:L1656"/>
    <mergeCell ref="N1655:P1655"/>
    <mergeCell ref="A1625:A1626"/>
    <mergeCell ref="B1625:B1626"/>
    <mergeCell ref="C1625:C1626"/>
    <mergeCell ref="E1625:G1625"/>
    <mergeCell ref="H1625:J1625"/>
    <mergeCell ref="L1625:L1626"/>
    <mergeCell ref="N1565:P1565"/>
    <mergeCell ref="A1595:A1596"/>
    <mergeCell ref="B1595:B1596"/>
    <mergeCell ref="C1595:C1596"/>
    <mergeCell ref="E1595:G1595"/>
    <mergeCell ref="H1595:J1595"/>
    <mergeCell ref="L1595:L1596"/>
    <mergeCell ref="N1595:P1595"/>
    <mergeCell ref="A1565:A1566"/>
    <mergeCell ref="B1565:B1566"/>
    <mergeCell ref="C1565:C1566"/>
    <mergeCell ref="E1565:G1565"/>
    <mergeCell ref="H1565:J1565"/>
    <mergeCell ref="L1565:L1566"/>
    <mergeCell ref="N1505:P1505"/>
    <mergeCell ref="A1535:A1536"/>
    <mergeCell ref="B1535:B1536"/>
    <mergeCell ref="C1535:C1536"/>
    <mergeCell ref="E1535:G1535"/>
    <mergeCell ref="H1535:J1535"/>
    <mergeCell ref="L1535:L1536"/>
    <mergeCell ref="N1535:P1535"/>
    <mergeCell ref="A1505:A1506"/>
    <mergeCell ref="B1505:B1506"/>
    <mergeCell ref="C1505:C1506"/>
    <mergeCell ref="E1505:G1505"/>
    <mergeCell ref="H1505:J1505"/>
    <mergeCell ref="L1505:L1506"/>
    <mergeCell ref="N1445:P1445"/>
    <mergeCell ref="A1475:A1476"/>
    <mergeCell ref="B1475:B1476"/>
    <mergeCell ref="C1475:C1476"/>
    <mergeCell ref="E1475:G1475"/>
    <mergeCell ref="H1475:J1475"/>
    <mergeCell ref="L1475:L1476"/>
    <mergeCell ref="N1475:P1475"/>
    <mergeCell ref="A1445:A1446"/>
    <mergeCell ref="B1445:B1446"/>
    <mergeCell ref="C1445:C1446"/>
    <mergeCell ref="E1445:G1445"/>
    <mergeCell ref="H1445:J1445"/>
    <mergeCell ref="L1445:L1446"/>
    <mergeCell ref="N1385:P1385"/>
    <mergeCell ref="A1415:A1416"/>
    <mergeCell ref="B1415:B1416"/>
    <mergeCell ref="C1415:C1416"/>
    <mergeCell ref="E1415:G1415"/>
    <mergeCell ref="H1415:J1415"/>
    <mergeCell ref="L1415:L1416"/>
    <mergeCell ref="N1415:P1415"/>
    <mergeCell ref="A1385:A1386"/>
    <mergeCell ref="B1385:B1386"/>
    <mergeCell ref="C1385:C1386"/>
    <mergeCell ref="E1385:G1385"/>
    <mergeCell ref="H1385:J1385"/>
    <mergeCell ref="L1385:L1386"/>
    <mergeCell ref="N1325:P1325"/>
    <mergeCell ref="A1355:A1356"/>
    <mergeCell ref="B1355:B1356"/>
    <mergeCell ref="C1355:C1356"/>
    <mergeCell ref="E1355:G1355"/>
    <mergeCell ref="H1355:J1355"/>
    <mergeCell ref="L1355:L1356"/>
    <mergeCell ref="N1355:P1355"/>
    <mergeCell ref="A1325:A1326"/>
    <mergeCell ref="B1325:B1326"/>
    <mergeCell ref="C1325:C1326"/>
    <mergeCell ref="E1325:G1325"/>
    <mergeCell ref="H1325:J1325"/>
    <mergeCell ref="L1325:L1326"/>
    <mergeCell ref="N1265:P1265"/>
    <mergeCell ref="A1295:A1296"/>
    <mergeCell ref="B1295:B1296"/>
    <mergeCell ref="C1295:C1296"/>
    <mergeCell ref="E1295:G1295"/>
    <mergeCell ref="H1295:J1295"/>
    <mergeCell ref="L1295:L1296"/>
    <mergeCell ref="N1295:P1295"/>
    <mergeCell ref="A1265:A1266"/>
    <mergeCell ref="B1265:B1266"/>
    <mergeCell ref="C1265:C1266"/>
    <mergeCell ref="E1265:G1265"/>
    <mergeCell ref="H1265:J1265"/>
    <mergeCell ref="L1265:L1266"/>
    <mergeCell ref="N1205:P1205"/>
    <mergeCell ref="A1235:A1236"/>
    <mergeCell ref="B1235:B1236"/>
    <mergeCell ref="C1235:C1236"/>
    <mergeCell ref="E1235:G1235"/>
    <mergeCell ref="H1235:J1235"/>
    <mergeCell ref="L1235:L1236"/>
    <mergeCell ref="N1235:P1235"/>
    <mergeCell ref="A1205:A1206"/>
    <mergeCell ref="B1205:B1206"/>
    <mergeCell ref="C1205:C1206"/>
    <mergeCell ref="E1205:G1205"/>
    <mergeCell ref="H1205:J1205"/>
    <mergeCell ref="L1205:L1206"/>
    <mergeCell ref="N1145:P1145"/>
    <mergeCell ref="A1175:A1176"/>
    <mergeCell ref="B1175:B1176"/>
    <mergeCell ref="C1175:C1176"/>
    <mergeCell ref="E1175:G1175"/>
    <mergeCell ref="H1175:J1175"/>
    <mergeCell ref="L1175:L1176"/>
    <mergeCell ref="N1175:P1175"/>
    <mergeCell ref="A1145:A1146"/>
    <mergeCell ref="B1145:B1146"/>
    <mergeCell ref="C1145:C1146"/>
    <mergeCell ref="E1145:G1145"/>
    <mergeCell ref="H1145:J1145"/>
    <mergeCell ref="L1145:L1146"/>
    <mergeCell ref="N1085:P1085"/>
    <mergeCell ref="A1115:A1116"/>
    <mergeCell ref="B1115:B1116"/>
    <mergeCell ref="C1115:C1116"/>
    <mergeCell ref="E1115:G1115"/>
    <mergeCell ref="H1115:J1115"/>
    <mergeCell ref="L1115:L1116"/>
    <mergeCell ref="N1115:P1115"/>
    <mergeCell ref="A1085:A1086"/>
    <mergeCell ref="B1085:B1086"/>
    <mergeCell ref="C1085:C1086"/>
    <mergeCell ref="E1085:G1085"/>
    <mergeCell ref="H1085:J1085"/>
    <mergeCell ref="L1085:L1086"/>
    <mergeCell ref="N1025:P1025"/>
    <mergeCell ref="A1055:A1056"/>
    <mergeCell ref="B1055:B1056"/>
    <mergeCell ref="C1055:C1056"/>
    <mergeCell ref="E1055:G1055"/>
    <mergeCell ref="H1055:J1055"/>
    <mergeCell ref="L1055:L1056"/>
    <mergeCell ref="N1055:P1055"/>
    <mergeCell ref="A1025:A1026"/>
    <mergeCell ref="B1025:B1026"/>
    <mergeCell ref="C1025:C1026"/>
    <mergeCell ref="E1025:G1025"/>
    <mergeCell ref="H1025:J1025"/>
    <mergeCell ref="L1025:L1026"/>
    <mergeCell ref="N965:P965"/>
    <mergeCell ref="A995:A996"/>
    <mergeCell ref="B995:B996"/>
    <mergeCell ref="C995:C996"/>
    <mergeCell ref="E995:G995"/>
    <mergeCell ref="H995:J995"/>
    <mergeCell ref="L995:L996"/>
    <mergeCell ref="N995:P995"/>
    <mergeCell ref="A965:A966"/>
    <mergeCell ref="B965:B966"/>
    <mergeCell ref="C965:C966"/>
    <mergeCell ref="E965:G965"/>
    <mergeCell ref="H965:J965"/>
    <mergeCell ref="L965:L966"/>
    <mergeCell ref="N905:P905"/>
    <mergeCell ref="A935:A936"/>
    <mergeCell ref="B935:B936"/>
    <mergeCell ref="C935:C936"/>
    <mergeCell ref="E935:G935"/>
    <mergeCell ref="H935:J935"/>
    <mergeCell ref="L935:L936"/>
    <mergeCell ref="N935:P935"/>
    <mergeCell ref="A905:A906"/>
    <mergeCell ref="B905:B906"/>
    <mergeCell ref="C905:C906"/>
    <mergeCell ref="E905:G905"/>
    <mergeCell ref="H905:J905"/>
    <mergeCell ref="L905:L906"/>
    <mergeCell ref="N845:P845"/>
    <mergeCell ref="A875:A876"/>
    <mergeCell ref="B875:B876"/>
    <mergeCell ref="C875:C876"/>
    <mergeCell ref="E875:G875"/>
    <mergeCell ref="H875:J875"/>
    <mergeCell ref="L875:L876"/>
    <mergeCell ref="N875:P875"/>
    <mergeCell ref="A845:A846"/>
    <mergeCell ref="B845:B846"/>
    <mergeCell ref="C845:C846"/>
    <mergeCell ref="E845:G845"/>
    <mergeCell ref="H845:J845"/>
    <mergeCell ref="L845:L846"/>
    <mergeCell ref="N785:P785"/>
    <mergeCell ref="A815:A816"/>
    <mergeCell ref="B815:B816"/>
    <mergeCell ref="C815:C816"/>
    <mergeCell ref="E815:G815"/>
    <mergeCell ref="H815:J815"/>
    <mergeCell ref="L815:L816"/>
    <mergeCell ref="N815:P815"/>
    <mergeCell ref="A785:A786"/>
    <mergeCell ref="B785:B786"/>
    <mergeCell ref="C785:C786"/>
    <mergeCell ref="E785:G785"/>
    <mergeCell ref="H785:J785"/>
    <mergeCell ref="L785:L786"/>
    <mergeCell ref="N725:P725"/>
    <mergeCell ref="A755:A756"/>
    <mergeCell ref="B755:B756"/>
    <mergeCell ref="C755:C756"/>
    <mergeCell ref="E755:G755"/>
    <mergeCell ref="H755:J755"/>
    <mergeCell ref="L755:L756"/>
    <mergeCell ref="N755:P755"/>
    <mergeCell ref="A725:A726"/>
    <mergeCell ref="B725:B726"/>
    <mergeCell ref="C725:C726"/>
    <mergeCell ref="E725:G725"/>
    <mergeCell ref="H725:J725"/>
    <mergeCell ref="L725:L726"/>
    <mergeCell ref="N665:P665"/>
    <mergeCell ref="A695:A696"/>
    <mergeCell ref="B695:B696"/>
    <mergeCell ref="C695:C696"/>
    <mergeCell ref="E695:G695"/>
    <mergeCell ref="H695:J695"/>
    <mergeCell ref="L695:L696"/>
    <mergeCell ref="N695:P695"/>
    <mergeCell ref="A665:A666"/>
    <mergeCell ref="B665:B666"/>
    <mergeCell ref="C665:C666"/>
    <mergeCell ref="E665:G665"/>
    <mergeCell ref="H665:J665"/>
    <mergeCell ref="L665:L666"/>
    <mergeCell ref="N605:P605"/>
    <mergeCell ref="A635:A636"/>
    <mergeCell ref="B635:B636"/>
    <mergeCell ref="C635:C636"/>
    <mergeCell ref="E635:G635"/>
    <mergeCell ref="H635:J635"/>
    <mergeCell ref="L635:L636"/>
    <mergeCell ref="N635:P635"/>
    <mergeCell ref="A605:A606"/>
    <mergeCell ref="B605:B606"/>
    <mergeCell ref="C605:C606"/>
    <mergeCell ref="E605:G605"/>
    <mergeCell ref="H605:J605"/>
    <mergeCell ref="L605:L606"/>
    <mergeCell ref="N545:P545"/>
    <mergeCell ref="A575:A576"/>
    <mergeCell ref="B575:B576"/>
    <mergeCell ref="C575:C576"/>
    <mergeCell ref="E575:G575"/>
    <mergeCell ref="H575:J575"/>
    <mergeCell ref="L575:L576"/>
    <mergeCell ref="N575:P575"/>
    <mergeCell ref="A545:A546"/>
    <mergeCell ref="B545:B546"/>
    <mergeCell ref="C545:C546"/>
    <mergeCell ref="E545:G545"/>
    <mergeCell ref="H545:J545"/>
    <mergeCell ref="L545:L546"/>
    <mergeCell ref="N485:P485"/>
    <mergeCell ref="A515:A516"/>
    <mergeCell ref="B515:B516"/>
    <mergeCell ref="C515:C516"/>
    <mergeCell ref="E515:G515"/>
    <mergeCell ref="H515:J515"/>
    <mergeCell ref="L515:L516"/>
    <mergeCell ref="N515:P515"/>
    <mergeCell ref="A485:A486"/>
    <mergeCell ref="B485:B486"/>
    <mergeCell ref="C485:C486"/>
    <mergeCell ref="E485:G485"/>
    <mergeCell ref="H485:J485"/>
    <mergeCell ref="L485:L486"/>
    <mergeCell ref="N425:P425"/>
    <mergeCell ref="A455:A456"/>
    <mergeCell ref="B455:B456"/>
    <mergeCell ref="C455:C456"/>
    <mergeCell ref="E455:G455"/>
    <mergeCell ref="H455:J455"/>
    <mergeCell ref="L455:L456"/>
    <mergeCell ref="N455:P455"/>
    <mergeCell ref="A425:A426"/>
    <mergeCell ref="B425:B426"/>
    <mergeCell ref="C425:C426"/>
    <mergeCell ref="E425:G425"/>
    <mergeCell ref="H425:J425"/>
    <mergeCell ref="L425:L426"/>
    <mergeCell ref="N365:P365"/>
    <mergeCell ref="A395:A396"/>
    <mergeCell ref="B395:B396"/>
    <mergeCell ref="C395:C396"/>
    <mergeCell ref="E395:G395"/>
    <mergeCell ref="H395:J395"/>
    <mergeCell ref="L395:L396"/>
    <mergeCell ref="N395:P395"/>
    <mergeCell ref="A365:A366"/>
    <mergeCell ref="B365:B366"/>
    <mergeCell ref="C365:C366"/>
    <mergeCell ref="E365:G365"/>
    <mergeCell ref="H365:J365"/>
    <mergeCell ref="L365:L366"/>
    <mergeCell ref="N305:P305"/>
    <mergeCell ref="A335:A336"/>
    <mergeCell ref="B335:B336"/>
    <mergeCell ref="C335:C336"/>
    <mergeCell ref="E335:G335"/>
    <mergeCell ref="H335:J335"/>
    <mergeCell ref="L335:L336"/>
    <mergeCell ref="N335:P335"/>
    <mergeCell ref="A305:A306"/>
    <mergeCell ref="B305:B306"/>
    <mergeCell ref="C305:C306"/>
    <mergeCell ref="E305:G305"/>
    <mergeCell ref="H305:J305"/>
    <mergeCell ref="L305:L306"/>
    <mergeCell ref="N245:P245"/>
    <mergeCell ref="A275:A276"/>
    <mergeCell ref="B275:B276"/>
    <mergeCell ref="C275:C276"/>
    <mergeCell ref="E275:G275"/>
    <mergeCell ref="H275:J275"/>
    <mergeCell ref="L275:L276"/>
    <mergeCell ref="N275:P275"/>
    <mergeCell ref="A245:A246"/>
    <mergeCell ref="B245:B246"/>
    <mergeCell ref="C245:C246"/>
    <mergeCell ref="E245:G245"/>
    <mergeCell ref="H245:J245"/>
    <mergeCell ref="L245:L246"/>
    <mergeCell ref="N185:P185"/>
    <mergeCell ref="A215:A216"/>
    <mergeCell ref="B215:B216"/>
    <mergeCell ref="C215:C216"/>
    <mergeCell ref="E215:G215"/>
    <mergeCell ref="H215:J215"/>
    <mergeCell ref="L215:L216"/>
    <mergeCell ref="N215:P215"/>
    <mergeCell ref="A185:A186"/>
    <mergeCell ref="B185:B186"/>
    <mergeCell ref="C185:C186"/>
    <mergeCell ref="E185:G185"/>
    <mergeCell ref="H185:J185"/>
    <mergeCell ref="L185:L186"/>
    <mergeCell ref="N124:P124"/>
    <mergeCell ref="H154:J154"/>
    <mergeCell ref="A155:A156"/>
    <mergeCell ref="B155:B156"/>
    <mergeCell ref="C155:C156"/>
    <mergeCell ref="E155:G155"/>
    <mergeCell ref="H155:J155"/>
    <mergeCell ref="L155:L156"/>
    <mergeCell ref="N155:P155"/>
    <mergeCell ref="A124:A125"/>
    <mergeCell ref="B124:B125"/>
    <mergeCell ref="C124:C125"/>
    <mergeCell ref="E124:G124"/>
    <mergeCell ref="H124:J124"/>
    <mergeCell ref="L124:L125"/>
    <mergeCell ref="N64:P64"/>
    <mergeCell ref="A94:A95"/>
    <mergeCell ref="B94:B95"/>
    <mergeCell ref="C94:C95"/>
    <mergeCell ref="E94:G94"/>
    <mergeCell ref="H94:J94"/>
    <mergeCell ref="L94:L95"/>
    <mergeCell ref="N94:P94"/>
    <mergeCell ref="A64:A65"/>
    <mergeCell ref="B64:B65"/>
    <mergeCell ref="C64:C65"/>
    <mergeCell ref="E64:G64"/>
    <mergeCell ref="H64:J64"/>
    <mergeCell ref="L64:L65"/>
    <mergeCell ref="N4:P4"/>
    <mergeCell ref="A34:A35"/>
    <mergeCell ref="B34:B35"/>
    <mergeCell ref="C34:C35"/>
    <mergeCell ref="E34:G34"/>
    <mergeCell ref="H34:J34"/>
    <mergeCell ref="L34:L35"/>
    <mergeCell ref="N34:P34"/>
    <mergeCell ref="A4:A5"/>
    <mergeCell ref="B4:B5"/>
    <mergeCell ref="C4:C5"/>
    <mergeCell ref="E4:G4"/>
    <mergeCell ref="H4:J4"/>
    <mergeCell ref="L4:L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3"/>
  <sheetViews>
    <sheetView tabSelected="1" workbookViewId="0">
      <selection activeCell="D11" sqref="D11"/>
    </sheetView>
  </sheetViews>
  <sheetFormatPr defaultRowHeight="18.75"/>
  <cols>
    <col min="1" max="1" width="5.7109375" style="177" customWidth="1"/>
    <col min="2" max="2" width="25.7109375" style="177" customWidth="1"/>
    <col min="3" max="3" width="17.85546875" style="177" customWidth="1"/>
    <col min="4" max="4" width="18.5703125" style="177" customWidth="1"/>
    <col min="5" max="5" width="12.140625" style="177" customWidth="1"/>
    <col min="6" max="6" width="18.85546875" style="177" customWidth="1"/>
    <col min="7" max="7" width="20.140625" style="177" customWidth="1"/>
    <col min="8" max="8" width="14.85546875" style="177" customWidth="1"/>
    <col min="9" max="9" width="17.7109375" style="177" customWidth="1"/>
    <col min="10" max="10" width="15.7109375" style="177" customWidth="1"/>
    <col min="11" max="16384" width="9.140625" style="177"/>
  </cols>
  <sheetData>
    <row r="1" spans="1:10" s="174" customFormat="1">
      <c r="A1" s="173" t="s">
        <v>108</v>
      </c>
      <c r="C1" s="175"/>
      <c r="D1" s="175"/>
      <c r="E1" s="175"/>
      <c r="F1" s="175"/>
    </row>
    <row r="2" spans="1:10" s="174" customFormat="1">
      <c r="A2" s="173" t="s">
        <v>1</v>
      </c>
      <c r="C2" s="175"/>
      <c r="D2" s="175"/>
      <c r="E2" s="175"/>
      <c r="F2" s="175"/>
    </row>
    <row r="3" spans="1:10" s="174" customFormat="1">
      <c r="B3" s="176" t="s">
        <v>109</v>
      </c>
      <c r="C3" s="175"/>
      <c r="D3" s="175"/>
      <c r="E3" s="175"/>
      <c r="F3" s="175"/>
    </row>
    <row r="4" spans="1:10" ht="57" customHeight="1">
      <c r="A4" s="224" t="s">
        <v>3</v>
      </c>
      <c r="B4" s="226" t="s">
        <v>4</v>
      </c>
      <c r="C4" s="228" t="s">
        <v>110</v>
      </c>
      <c r="D4" s="230" t="s">
        <v>111</v>
      </c>
      <c r="E4" s="231"/>
      <c r="F4" s="232"/>
      <c r="G4" s="233" t="s">
        <v>9</v>
      </c>
      <c r="H4" s="235" t="s">
        <v>10</v>
      </c>
      <c r="I4" s="236"/>
      <c r="J4" s="237"/>
    </row>
    <row r="5" spans="1:10" s="174" customFormat="1" ht="59.25" customHeight="1">
      <c r="A5" s="225"/>
      <c r="B5" s="227"/>
      <c r="C5" s="229"/>
      <c r="D5" s="178" t="s">
        <v>112</v>
      </c>
      <c r="E5" s="178" t="s">
        <v>113</v>
      </c>
      <c r="F5" s="178" t="s">
        <v>114</v>
      </c>
      <c r="G5" s="234"/>
      <c r="H5" s="179" t="s">
        <v>112</v>
      </c>
      <c r="I5" s="179" t="s">
        <v>113</v>
      </c>
      <c r="J5" s="179" t="s">
        <v>114</v>
      </c>
    </row>
    <row r="6" spans="1:10" s="174" customFormat="1" ht="38.25">
      <c r="A6" s="180">
        <v>1</v>
      </c>
      <c r="B6" s="181" t="s">
        <v>115</v>
      </c>
      <c r="C6" s="182">
        <f t="shared" ref="C6:J6" si="0">C7+C8+C9+C10+C11+C12+C13+C14+C19+C20+C21+C22+C23+C24+C25+C26</f>
        <v>1923343.54</v>
      </c>
      <c r="D6" s="182">
        <f t="shared" si="0"/>
        <v>913793.59000000008</v>
      </c>
      <c r="E6" s="182">
        <f t="shared" si="0"/>
        <v>0</v>
      </c>
      <c r="F6" s="182">
        <f t="shared" si="0"/>
        <v>1009549.95</v>
      </c>
      <c r="G6" s="183">
        <f t="shared" si="0"/>
        <v>0</v>
      </c>
      <c r="H6" s="183">
        <f t="shared" si="0"/>
        <v>0</v>
      </c>
      <c r="I6" s="183">
        <f t="shared" si="0"/>
        <v>0</v>
      </c>
      <c r="J6" s="183">
        <f t="shared" si="0"/>
        <v>0</v>
      </c>
    </row>
    <row r="7" spans="1:10" s="174" customFormat="1" ht="19.5">
      <c r="A7" s="184"/>
      <c r="B7" s="185" t="s">
        <v>20</v>
      </c>
      <c r="C7" s="186">
        <f t="shared" ref="C7:C13" si="1">D7+E7+F7</f>
        <v>1000000</v>
      </c>
      <c r="D7" s="187"/>
      <c r="E7" s="187"/>
      <c r="F7" s="187">
        <v>1000000</v>
      </c>
      <c r="G7" s="186">
        <f t="shared" ref="G7:G13" si="2">H7+I7+J7</f>
        <v>0</v>
      </c>
      <c r="H7" s="187"/>
      <c r="I7" s="187"/>
      <c r="J7" s="187"/>
    </row>
    <row r="8" spans="1:10" s="174" customFormat="1" ht="37.5">
      <c r="A8" s="188"/>
      <c r="B8" s="189" t="s">
        <v>21</v>
      </c>
      <c r="C8" s="186">
        <f t="shared" si="1"/>
        <v>0</v>
      </c>
      <c r="D8" s="190"/>
      <c r="E8" s="190"/>
      <c r="F8" s="190"/>
      <c r="G8" s="186">
        <f t="shared" si="2"/>
        <v>0</v>
      </c>
      <c r="H8" s="190"/>
      <c r="I8" s="190"/>
      <c r="J8" s="190"/>
    </row>
    <row r="9" spans="1:10" s="174" customFormat="1" ht="37.5">
      <c r="A9" s="188"/>
      <c r="B9" s="191" t="s">
        <v>22</v>
      </c>
      <c r="C9" s="186">
        <f t="shared" si="1"/>
        <v>0</v>
      </c>
      <c r="D9" s="190"/>
      <c r="E9" s="190"/>
      <c r="F9" s="190"/>
      <c r="G9" s="186">
        <f t="shared" si="2"/>
        <v>0</v>
      </c>
      <c r="H9" s="190"/>
      <c r="I9" s="190"/>
      <c r="J9" s="190"/>
    </row>
    <row r="10" spans="1:10" s="174" customFormat="1" ht="37.5">
      <c r="A10" s="188"/>
      <c r="B10" s="191" t="s">
        <v>23</v>
      </c>
      <c r="C10" s="186">
        <f t="shared" si="1"/>
        <v>329414.57</v>
      </c>
      <c r="D10" s="190">
        <v>329414.57</v>
      </c>
      <c r="E10" s="190"/>
      <c r="F10" s="190"/>
      <c r="G10" s="186">
        <f t="shared" si="2"/>
        <v>0</v>
      </c>
      <c r="H10" s="190"/>
      <c r="I10" s="190"/>
      <c r="J10" s="190"/>
    </row>
    <row r="11" spans="1:10" s="174" customFormat="1" ht="37.5">
      <c r="A11" s="188"/>
      <c r="B11" s="189" t="s">
        <v>24</v>
      </c>
      <c r="C11" s="186">
        <f t="shared" si="1"/>
        <v>0</v>
      </c>
      <c r="D11" s="190"/>
      <c r="E11" s="190"/>
      <c r="F11" s="190"/>
      <c r="G11" s="186">
        <f t="shared" si="2"/>
        <v>0</v>
      </c>
      <c r="H11" s="190"/>
      <c r="I11" s="190"/>
      <c r="J11" s="190"/>
    </row>
    <row r="12" spans="1:10" s="174" customFormat="1">
      <c r="A12" s="188"/>
      <c r="B12" s="192" t="s">
        <v>25</v>
      </c>
      <c r="C12" s="186">
        <f t="shared" si="1"/>
        <v>0</v>
      </c>
      <c r="D12" s="190"/>
      <c r="E12" s="190"/>
      <c r="F12" s="190"/>
      <c r="G12" s="186">
        <f t="shared" si="2"/>
        <v>0</v>
      </c>
      <c r="H12" s="190"/>
      <c r="I12" s="190"/>
      <c r="J12" s="190"/>
    </row>
    <row r="13" spans="1:10" s="174" customFormat="1" ht="37.5">
      <c r="A13" s="188"/>
      <c r="B13" s="191" t="s">
        <v>26</v>
      </c>
      <c r="C13" s="186">
        <f t="shared" si="1"/>
        <v>0</v>
      </c>
      <c r="D13" s="190"/>
      <c r="E13" s="190"/>
      <c r="F13" s="190"/>
      <c r="G13" s="186">
        <f t="shared" si="2"/>
        <v>0</v>
      </c>
      <c r="H13" s="190"/>
      <c r="I13" s="190"/>
      <c r="J13" s="190"/>
    </row>
    <row r="14" spans="1:10" s="174" customFormat="1" ht="39">
      <c r="A14" s="188"/>
      <c r="B14" s="193" t="s">
        <v>27</v>
      </c>
      <c r="C14" s="194">
        <f t="shared" ref="C14:J14" si="3">SUM(C15:C18)</f>
        <v>522623.52</v>
      </c>
      <c r="D14" s="194">
        <f t="shared" si="3"/>
        <v>522623.52</v>
      </c>
      <c r="E14" s="194">
        <f t="shared" si="3"/>
        <v>0</v>
      </c>
      <c r="F14" s="194">
        <f t="shared" si="3"/>
        <v>0</v>
      </c>
      <c r="G14" s="194">
        <f t="shared" si="3"/>
        <v>0</v>
      </c>
      <c r="H14" s="194">
        <f t="shared" si="3"/>
        <v>0</v>
      </c>
      <c r="I14" s="194">
        <f t="shared" si="3"/>
        <v>0</v>
      </c>
      <c r="J14" s="194">
        <f t="shared" si="3"/>
        <v>0</v>
      </c>
    </row>
    <row r="15" spans="1:10" s="174" customFormat="1">
      <c r="A15" s="188"/>
      <c r="B15" s="195" t="s">
        <v>28</v>
      </c>
      <c r="C15" s="186">
        <f t="shared" ref="C15:C25" si="4">D15+E15+F15</f>
        <v>505529.01</v>
      </c>
      <c r="D15" s="190">
        <v>505529.01</v>
      </c>
      <c r="E15" s="190"/>
      <c r="F15" s="190"/>
      <c r="G15" s="186">
        <f t="shared" ref="G15:G25" si="5">H15+I15+J15</f>
        <v>0</v>
      </c>
      <c r="H15" s="190"/>
      <c r="I15" s="190"/>
      <c r="J15" s="190"/>
    </row>
    <row r="16" spans="1:10" s="174" customFormat="1">
      <c r="A16" s="188"/>
      <c r="B16" s="195" t="s">
        <v>29</v>
      </c>
      <c r="C16" s="186">
        <f t="shared" si="4"/>
        <v>0</v>
      </c>
      <c r="D16" s="190"/>
      <c r="E16" s="190"/>
      <c r="F16" s="190"/>
      <c r="G16" s="186">
        <f t="shared" si="5"/>
        <v>0</v>
      </c>
      <c r="H16" s="190"/>
      <c r="I16" s="190"/>
      <c r="J16" s="190"/>
    </row>
    <row r="17" spans="1:10" s="174" customFormat="1">
      <c r="A17" s="188"/>
      <c r="B17" s="195" t="s">
        <v>30</v>
      </c>
      <c r="C17" s="186">
        <f t="shared" si="4"/>
        <v>0</v>
      </c>
      <c r="D17" s="190"/>
      <c r="E17" s="190"/>
      <c r="F17" s="190"/>
      <c r="G17" s="186">
        <f t="shared" si="5"/>
        <v>0</v>
      </c>
      <c r="H17" s="190"/>
      <c r="I17" s="190"/>
      <c r="J17" s="190"/>
    </row>
    <row r="18" spans="1:10" s="174" customFormat="1">
      <c r="A18" s="188"/>
      <c r="B18" s="195" t="s">
        <v>31</v>
      </c>
      <c r="C18" s="186">
        <f t="shared" si="4"/>
        <v>17094.509999999998</v>
      </c>
      <c r="D18" s="190">
        <v>17094.509999999998</v>
      </c>
      <c r="E18" s="190"/>
      <c r="F18" s="190"/>
      <c r="G18" s="186">
        <f t="shared" si="5"/>
        <v>0</v>
      </c>
      <c r="H18" s="190"/>
      <c r="I18" s="190"/>
      <c r="J18" s="190"/>
    </row>
    <row r="19" spans="1:10" s="174" customFormat="1" ht="75">
      <c r="A19" s="188"/>
      <c r="B19" s="196" t="s">
        <v>32</v>
      </c>
      <c r="C19" s="186">
        <f t="shared" si="4"/>
        <v>0</v>
      </c>
      <c r="D19" s="190"/>
      <c r="E19" s="190"/>
      <c r="F19" s="190"/>
      <c r="G19" s="186">
        <f t="shared" si="5"/>
        <v>0</v>
      </c>
      <c r="H19" s="190"/>
      <c r="I19" s="190"/>
      <c r="J19" s="190"/>
    </row>
    <row r="20" spans="1:10" s="174" customFormat="1" ht="56.25">
      <c r="A20" s="188"/>
      <c r="B20" s="196" t="s">
        <v>33</v>
      </c>
      <c r="C20" s="186">
        <f t="shared" si="4"/>
        <v>61755.5</v>
      </c>
      <c r="D20" s="190">
        <v>61755.5</v>
      </c>
      <c r="E20" s="190"/>
      <c r="F20" s="190"/>
      <c r="G20" s="186">
        <f t="shared" si="5"/>
        <v>0</v>
      </c>
      <c r="H20" s="190"/>
      <c r="I20" s="190"/>
      <c r="J20" s="190"/>
    </row>
    <row r="21" spans="1:10" s="174" customFormat="1" ht="56.25">
      <c r="A21" s="188"/>
      <c r="B21" s="197" t="s">
        <v>34</v>
      </c>
      <c r="C21" s="186">
        <f t="shared" si="4"/>
        <v>0</v>
      </c>
      <c r="D21" s="190"/>
      <c r="E21" s="190"/>
      <c r="F21" s="190"/>
      <c r="G21" s="186">
        <f t="shared" si="5"/>
        <v>0</v>
      </c>
      <c r="H21" s="190"/>
      <c r="I21" s="190"/>
      <c r="J21" s="190"/>
    </row>
    <row r="22" spans="1:10" s="174" customFormat="1">
      <c r="A22" s="188"/>
      <c r="B22" s="197" t="s">
        <v>35</v>
      </c>
      <c r="C22" s="186">
        <f t="shared" si="4"/>
        <v>0</v>
      </c>
      <c r="D22" s="190"/>
      <c r="E22" s="190"/>
      <c r="F22" s="190"/>
      <c r="G22" s="186">
        <f t="shared" si="5"/>
        <v>0</v>
      </c>
      <c r="H22" s="190"/>
      <c r="I22" s="190"/>
      <c r="J22" s="190"/>
    </row>
    <row r="23" spans="1:10" s="174" customFormat="1" ht="56.25">
      <c r="A23" s="188"/>
      <c r="B23" s="198" t="s">
        <v>36</v>
      </c>
      <c r="C23" s="186">
        <f t="shared" si="4"/>
        <v>0</v>
      </c>
      <c r="D23" s="190"/>
      <c r="E23" s="190"/>
      <c r="F23" s="190"/>
      <c r="G23" s="186">
        <f t="shared" si="5"/>
        <v>0</v>
      </c>
      <c r="H23" s="190"/>
      <c r="I23" s="190"/>
      <c r="J23" s="190"/>
    </row>
    <row r="24" spans="1:10" s="174" customFormat="1" ht="37.5">
      <c r="A24" s="188"/>
      <c r="B24" s="199" t="s">
        <v>37</v>
      </c>
      <c r="C24" s="186">
        <f t="shared" si="4"/>
        <v>0</v>
      </c>
      <c r="D24" s="190"/>
      <c r="E24" s="190"/>
      <c r="F24" s="190"/>
      <c r="G24" s="186">
        <f t="shared" si="5"/>
        <v>0</v>
      </c>
      <c r="H24" s="190"/>
      <c r="I24" s="190"/>
      <c r="J24" s="190"/>
    </row>
    <row r="25" spans="1:10" s="174" customFormat="1" ht="56.25">
      <c r="A25" s="188"/>
      <c r="B25" s="199" t="s">
        <v>38</v>
      </c>
      <c r="C25" s="186">
        <f t="shared" si="4"/>
        <v>0</v>
      </c>
      <c r="D25" s="190"/>
      <c r="E25" s="190"/>
      <c r="F25" s="190"/>
      <c r="G25" s="186">
        <f t="shared" si="5"/>
        <v>0</v>
      </c>
      <c r="H25" s="190"/>
      <c r="I25" s="190"/>
      <c r="J25" s="190"/>
    </row>
    <row r="26" spans="1:10" s="174" customFormat="1" ht="78">
      <c r="A26" s="188"/>
      <c r="B26" s="200" t="s">
        <v>39</v>
      </c>
      <c r="C26" s="194">
        <f t="shared" ref="C26:J26" si="6">SUM(C27:C33)</f>
        <v>9549.9500000000007</v>
      </c>
      <c r="D26" s="194">
        <f t="shared" si="6"/>
        <v>0</v>
      </c>
      <c r="E26" s="194">
        <f t="shared" si="6"/>
        <v>0</v>
      </c>
      <c r="F26" s="194">
        <f t="shared" si="6"/>
        <v>9549.9500000000007</v>
      </c>
      <c r="G26" s="194">
        <f t="shared" si="6"/>
        <v>0</v>
      </c>
      <c r="H26" s="194">
        <f t="shared" si="6"/>
        <v>0</v>
      </c>
      <c r="I26" s="194">
        <f t="shared" si="6"/>
        <v>0</v>
      </c>
      <c r="J26" s="194">
        <f t="shared" si="6"/>
        <v>0</v>
      </c>
    </row>
    <row r="27" spans="1:10" s="174" customFormat="1" ht="56.25">
      <c r="A27" s="188" t="s">
        <v>40</v>
      </c>
      <c r="B27" s="196" t="s">
        <v>41</v>
      </c>
      <c r="C27" s="186">
        <f t="shared" ref="C27:C33" si="7">D27+E27+F27</f>
        <v>0</v>
      </c>
      <c r="D27" s="190"/>
      <c r="E27" s="190"/>
      <c r="F27" s="190"/>
      <c r="G27" s="186">
        <f t="shared" ref="G27:G33" si="8">H27+I27+J27</f>
        <v>0</v>
      </c>
      <c r="H27" s="190"/>
      <c r="I27" s="190"/>
      <c r="J27" s="190"/>
    </row>
    <row r="28" spans="1:10" s="174" customFormat="1" ht="37.5">
      <c r="A28" s="188"/>
      <c r="B28" s="196" t="s">
        <v>42</v>
      </c>
      <c r="C28" s="186">
        <f t="shared" si="7"/>
        <v>0</v>
      </c>
      <c r="D28" s="190"/>
      <c r="E28" s="190"/>
      <c r="F28" s="190"/>
      <c r="G28" s="186">
        <f t="shared" si="8"/>
        <v>0</v>
      </c>
      <c r="H28" s="190"/>
      <c r="I28" s="190"/>
      <c r="J28" s="190"/>
    </row>
    <row r="29" spans="1:10" s="174" customFormat="1" ht="37.5">
      <c r="A29" s="188"/>
      <c r="B29" s="196" t="s">
        <v>43</v>
      </c>
      <c r="C29" s="186">
        <f t="shared" si="7"/>
        <v>0</v>
      </c>
      <c r="D29" s="190"/>
      <c r="E29" s="190"/>
      <c r="F29" s="190"/>
      <c r="G29" s="186">
        <f t="shared" si="8"/>
        <v>0</v>
      </c>
      <c r="H29" s="190"/>
      <c r="I29" s="190"/>
      <c r="J29" s="190"/>
    </row>
    <row r="30" spans="1:10" s="174" customFormat="1" ht="37.5">
      <c r="A30" s="188"/>
      <c r="B30" s="196" t="s">
        <v>77</v>
      </c>
      <c r="C30" s="186">
        <f t="shared" si="7"/>
        <v>0</v>
      </c>
      <c r="D30" s="190"/>
      <c r="E30" s="190"/>
      <c r="F30" s="190"/>
      <c r="G30" s="186">
        <f t="shared" si="8"/>
        <v>0</v>
      </c>
      <c r="H30" s="190"/>
      <c r="I30" s="190"/>
      <c r="J30" s="190"/>
    </row>
    <row r="31" spans="1:10" s="174" customFormat="1">
      <c r="A31" s="188"/>
      <c r="B31" s="196" t="s">
        <v>45</v>
      </c>
      <c r="C31" s="186">
        <f t="shared" si="7"/>
        <v>0</v>
      </c>
      <c r="D31" s="190"/>
      <c r="E31" s="190"/>
      <c r="F31" s="190"/>
      <c r="G31" s="186">
        <f t="shared" si="8"/>
        <v>0</v>
      </c>
      <c r="H31" s="190"/>
      <c r="I31" s="190"/>
      <c r="J31" s="190"/>
    </row>
    <row r="32" spans="1:10" s="174" customFormat="1" ht="37.5">
      <c r="A32" s="188"/>
      <c r="B32" s="196" t="s">
        <v>46</v>
      </c>
      <c r="C32" s="186">
        <f t="shared" si="7"/>
        <v>0</v>
      </c>
      <c r="D32" s="190"/>
      <c r="E32" s="190"/>
      <c r="F32" s="190"/>
      <c r="G32" s="186">
        <f t="shared" si="8"/>
        <v>0</v>
      </c>
      <c r="H32" s="190"/>
      <c r="I32" s="190"/>
      <c r="J32" s="190"/>
    </row>
    <row r="33" spans="1:10" s="174" customFormat="1" ht="37.5">
      <c r="A33" s="188"/>
      <c r="B33" s="196" t="s">
        <v>47</v>
      </c>
      <c r="C33" s="186">
        <f t="shared" si="7"/>
        <v>9549.9500000000007</v>
      </c>
      <c r="D33" s="190"/>
      <c r="E33" s="190"/>
      <c r="F33" s="190">
        <v>9549.9500000000007</v>
      </c>
      <c r="G33" s="186">
        <f t="shared" si="8"/>
        <v>0</v>
      </c>
      <c r="H33" s="190"/>
      <c r="I33" s="190"/>
      <c r="J33" s="190"/>
    </row>
    <row r="34" spans="1:10" s="174" customFormat="1">
      <c r="A34" s="201"/>
      <c r="B34" s="202"/>
      <c r="C34" s="203"/>
      <c r="D34" s="203"/>
      <c r="E34" s="203"/>
      <c r="F34" s="203"/>
      <c r="G34" s="203"/>
      <c r="H34" s="203"/>
      <c r="I34" s="203"/>
      <c r="J34" s="203"/>
    </row>
    <row r="35" spans="1:10" s="174" customFormat="1" ht="112.5">
      <c r="A35" s="204" t="s">
        <v>3</v>
      </c>
      <c r="B35" s="178" t="s">
        <v>4</v>
      </c>
      <c r="C35" s="178" t="s">
        <v>110</v>
      </c>
      <c r="D35" s="178" t="s">
        <v>6</v>
      </c>
      <c r="E35" s="178" t="s">
        <v>116</v>
      </c>
      <c r="F35" s="178" t="s">
        <v>117</v>
      </c>
      <c r="G35" s="178" t="s">
        <v>110</v>
      </c>
      <c r="H35" s="178" t="s">
        <v>6</v>
      </c>
      <c r="I35" s="178" t="s">
        <v>116</v>
      </c>
      <c r="J35" s="178" t="s">
        <v>117</v>
      </c>
    </row>
    <row r="36" spans="1:10" s="174" customFormat="1" ht="38.25">
      <c r="A36" s="180">
        <v>2</v>
      </c>
      <c r="B36" s="181" t="s">
        <v>118</v>
      </c>
      <c r="C36" s="182">
        <f t="shared" ref="C36:J36" si="9">C37+C38+C39+C40+C41+C42+C43+C44+C49+C50+C51+C52+C53+C54+C55+C56</f>
        <v>187202.19</v>
      </c>
      <c r="D36" s="182">
        <f t="shared" si="9"/>
        <v>130585.43</v>
      </c>
      <c r="E36" s="182">
        <f t="shared" si="9"/>
        <v>0</v>
      </c>
      <c r="F36" s="182">
        <f t="shared" si="9"/>
        <v>56616.76</v>
      </c>
      <c r="G36" s="182">
        <f t="shared" si="9"/>
        <v>0</v>
      </c>
      <c r="H36" s="182">
        <f t="shared" si="9"/>
        <v>0</v>
      </c>
      <c r="I36" s="182">
        <f t="shared" si="9"/>
        <v>0</v>
      </c>
      <c r="J36" s="182">
        <f t="shared" si="9"/>
        <v>0</v>
      </c>
    </row>
    <row r="37" spans="1:10" s="205" customFormat="1" ht="19.5">
      <c r="A37" s="184"/>
      <c r="B37" s="185" t="s">
        <v>20</v>
      </c>
      <c r="C37" s="186">
        <f t="shared" ref="C37:C43" si="10">D37+E37+F37</f>
        <v>56616.76</v>
      </c>
      <c r="D37" s="187"/>
      <c r="E37" s="187"/>
      <c r="F37" s="187">
        <v>56616.76</v>
      </c>
      <c r="G37" s="186">
        <f t="shared" ref="G37:G43" si="11">H37+I37+J37</f>
        <v>0</v>
      </c>
      <c r="H37" s="187"/>
      <c r="I37" s="187"/>
      <c r="J37" s="187"/>
    </row>
    <row r="38" spans="1:10" s="174" customFormat="1" ht="37.5">
      <c r="A38" s="188"/>
      <c r="B38" s="189" t="s">
        <v>21</v>
      </c>
      <c r="C38" s="186">
        <f t="shared" si="10"/>
        <v>0</v>
      </c>
      <c r="D38" s="206"/>
      <c r="E38" s="190"/>
      <c r="F38" s="190"/>
      <c r="G38" s="186">
        <f t="shared" si="11"/>
        <v>0</v>
      </c>
      <c r="H38" s="206"/>
      <c r="I38" s="190"/>
      <c r="J38" s="190"/>
    </row>
    <row r="39" spans="1:10" s="174" customFormat="1" ht="37.5">
      <c r="A39" s="188"/>
      <c r="B39" s="191" t="s">
        <v>22</v>
      </c>
      <c r="C39" s="186">
        <f t="shared" si="10"/>
        <v>0</v>
      </c>
      <c r="D39" s="206"/>
      <c r="E39" s="190"/>
      <c r="F39" s="190"/>
      <c r="G39" s="186">
        <f t="shared" si="11"/>
        <v>0</v>
      </c>
      <c r="H39" s="206"/>
      <c r="I39" s="190"/>
      <c r="J39" s="190"/>
    </row>
    <row r="40" spans="1:10" s="174" customFormat="1" ht="37.5">
      <c r="A40" s="188"/>
      <c r="B40" s="191" t="s">
        <v>23</v>
      </c>
      <c r="C40" s="186">
        <f t="shared" si="10"/>
        <v>86321</v>
      </c>
      <c r="D40" s="190">
        <v>86321</v>
      </c>
      <c r="E40" s="190"/>
      <c r="F40" s="190"/>
      <c r="G40" s="186">
        <f t="shared" si="11"/>
        <v>0</v>
      </c>
      <c r="H40" s="190"/>
      <c r="I40" s="190"/>
      <c r="J40" s="190"/>
    </row>
    <row r="41" spans="1:10" s="174" customFormat="1" ht="37.5">
      <c r="A41" s="188"/>
      <c r="B41" s="189" t="s">
        <v>24</v>
      </c>
      <c r="C41" s="186">
        <f t="shared" si="10"/>
        <v>0</v>
      </c>
      <c r="D41" s="206"/>
      <c r="E41" s="190"/>
      <c r="F41" s="190"/>
      <c r="G41" s="186">
        <f t="shared" si="11"/>
        <v>0</v>
      </c>
      <c r="H41" s="206"/>
      <c r="I41" s="190"/>
      <c r="J41" s="190"/>
    </row>
    <row r="42" spans="1:10" s="174" customFormat="1">
      <c r="A42" s="188"/>
      <c r="B42" s="192" t="s">
        <v>25</v>
      </c>
      <c r="C42" s="186">
        <f t="shared" si="10"/>
        <v>0</v>
      </c>
      <c r="D42" s="206"/>
      <c r="E42" s="190"/>
      <c r="F42" s="190"/>
      <c r="G42" s="186">
        <f t="shared" si="11"/>
        <v>0</v>
      </c>
      <c r="H42" s="206"/>
      <c r="I42" s="190"/>
      <c r="J42" s="190"/>
    </row>
    <row r="43" spans="1:10" s="174" customFormat="1" ht="37.5">
      <c r="A43" s="188"/>
      <c r="B43" s="191" t="s">
        <v>26</v>
      </c>
      <c r="C43" s="186">
        <f t="shared" si="10"/>
        <v>0</v>
      </c>
      <c r="D43" s="206"/>
      <c r="E43" s="190"/>
      <c r="F43" s="190"/>
      <c r="G43" s="186">
        <f t="shared" si="11"/>
        <v>0</v>
      </c>
      <c r="H43" s="206"/>
      <c r="I43" s="190"/>
      <c r="J43" s="190"/>
    </row>
    <row r="44" spans="1:10" s="174" customFormat="1" ht="39">
      <c r="A44" s="188"/>
      <c r="B44" s="193" t="s">
        <v>27</v>
      </c>
      <c r="C44" s="194">
        <f t="shared" ref="C44:J44" si="12">SUM(C45:C48)</f>
        <v>44264.43</v>
      </c>
      <c r="D44" s="207">
        <f t="shared" si="12"/>
        <v>44264.43</v>
      </c>
      <c r="E44" s="194">
        <f t="shared" si="12"/>
        <v>0</v>
      </c>
      <c r="F44" s="194">
        <f t="shared" si="12"/>
        <v>0</v>
      </c>
      <c r="G44" s="194">
        <f t="shared" si="12"/>
        <v>0</v>
      </c>
      <c r="H44" s="207">
        <f t="shared" si="12"/>
        <v>0</v>
      </c>
      <c r="I44" s="194">
        <f t="shared" si="12"/>
        <v>0</v>
      </c>
      <c r="J44" s="194">
        <f t="shared" si="12"/>
        <v>0</v>
      </c>
    </row>
    <row r="45" spans="1:10" s="174" customFormat="1">
      <c r="A45" s="188"/>
      <c r="B45" s="195" t="s">
        <v>28</v>
      </c>
      <c r="C45" s="186">
        <f t="shared" ref="C45:C55" si="13">D45+E45+F45</f>
        <v>6440.05</v>
      </c>
      <c r="D45" s="190">
        <v>6440.05</v>
      </c>
      <c r="E45" s="190"/>
      <c r="F45" s="190"/>
      <c r="G45" s="186">
        <f t="shared" ref="G45:G55" si="14">H45+I45+J45</f>
        <v>0</v>
      </c>
      <c r="H45" s="190"/>
      <c r="I45" s="190"/>
      <c r="J45" s="190"/>
    </row>
    <row r="46" spans="1:10" s="174" customFormat="1">
      <c r="A46" s="188"/>
      <c r="B46" s="195" t="s">
        <v>29</v>
      </c>
      <c r="C46" s="186">
        <f t="shared" si="13"/>
        <v>17002.7</v>
      </c>
      <c r="D46" s="190">
        <v>17002.7</v>
      </c>
      <c r="E46" s="190"/>
      <c r="F46" s="190"/>
      <c r="G46" s="186">
        <f t="shared" si="14"/>
        <v>0</v>
      </c>
      <c r="H46" s="190"/>
      <c r="I46" s="190"/>
      <c r="J46" s="190"/>
    </row>
    <row r="47" spans="1:10" s="174" customFormat="1">
      <c r="A47" s="188"/>
      <c r="B47" s="195" t="s">
        <v>30</v>
      </c>
      <c r="C47" s="186">
        <f t="shared" si="13"/>
        <v>20821.68</v>
      </c>
      <c r="D47" s="190">
        <v>20821.68</v>
      </c>
      <c r="E47" s="190"/>
      <c r="F47" s="190"/>
      <c r="G47" s="186">
        <f t="shared" si="14"/>
        <v>0</v>
      </c>
      <c r="H47" s="190"/>
      <c r="I47" s="190"/>
      <c r="J47" s="190"/>
    </row>
    <row r="48" spans="1:10" s="174" customFormat="1">
      <c r="A48" s="188"/>
      <c r="B48" s="195" t="s">
        <v>31</v>
      </c>
      <c r="C48" s="186">
        <f t="shared" si="13"/>
        <v>0</v>
      </c>
      <c r="D48" s="206"/>
      <c r="E48" s="190"/>
      <c r="F48" s="190"/>
      <c r="G48" s="186">
        <f t="shared" si="14"/>
        <v>0</v>
      </c>
      <c r="H48" s="206"/>
      <c r="I48" s="190"/>
      <c r="J48" s="190"/>
    </row>
    <row r="49" spans="1:10" s="174" customFormat="1" ht="75">
      <c r="A49" s="188"/>
      <c r="B49" s="196" t="s">
        <v>32</v>
      </c>
      <c r="C49" s="186">
        <f t="shared" si="13"/>
        <v>0</v>
      </c>
      <c r="D49" s="190"/>
      <c r="E49" s="190"/>
      <c r="F49" s="190"/>
      <c r="G49" s="186">
        <f t="shared" si="14"/>
        <v>0</v>
      </c>
      <c r="H49" s="190"/>
      <c r="I49" s="190"/>
      <c r="J49" s="190"/>
    </row>
    <row r="50" spans="1:10" s="174" customFormat="1" ht="56.25">
      <c r="A50" s="188"/>
      <c r="B50" s="196" t="s">
        <v>33</v>
      </c>
      <c r="C50" s="186">
        <f t="shared" si="13"/>
        <v>0</v>
      </c>
      <c r="D50" s="190"/>
      <c r="E50" s="190"/>
      <c r="F50" s="190"/>
      <c r="G50" s="186">
        <f t="shared" si="14"/>
        <v>0</v>
      </c>
      <c r="H50" s="190"/>
      <c r="I50" s="190"/>
      <c r="J50" s="190"/>
    </row>
    <row r="51" spans="1:10" s="174" customFormat="1" ht="56.25">
      <c r="A51" s="188"/>
      <c r="B51" s="197" t="s">
        <v>34</v>
      </c>
      <c r="C51" s="186">
        <f t="shared" si="13"/>
        <v>0</v>
      </c>
      <c r="D51" s="190"/>
      <c r="E51" s="190"/>
      <c r="F51" s="190"/>
      <c r="G51" s="186">
        <f t="shared" si="14"/>
        <v>0</v>
      </c>
      <c r="H51" s="190"/>
      <c r="I51" s="190"/>
      <c r="J51" s="190"/>
    </row>
    <row r="52" spans="1:10" s="174" customFormat="1">
      <c r="A52" s="188"/>
      <c r="B52" s="197" t="s">
        <v>35</v>
      </c>
      <c r="C52" s="186">
        <f t="shared" si="13"/>
        <v>0</v>
      </c>
      <c r="D52" s="190"/>
      <c r="E52" s="190"/>
      <c r="F52" s="190"/>
      <c r="G52" s="186">
        <f t="shared" si="14"/>
        <v>0</v>
      </c>
      <c r="H52" s="190"/>
      <c r="I52" s="190"/>
      <c r="J52" s="190"/>
    </row>
    <row r="53" spans="1:10" s="174" customFormat="1" ht="56.25">
      <c r="A53" s="188"/>
      <c r="B53" s="198" t="s">
        <v>36</v>
      </c>
      <c r="C53" s="186">
        <f t="shared" si="13"/>
        <v>0</v>
      </c>
      <c r="D53" s="190"/>
      <c r="E53" s="190"/>
      <c r="F53" s="190"/>
      <c r="G53" s="186">
        <f t="shared" si="14"/>
        <v>0</v>
      </c>
      <c r="H53" s="190"/>
      <c r="I53" s="190"/>
      <c r="J53" s="190"/>
    </row>
    <row r="54" spans="1:10" s="174" customFormat="1" ht="37.5">
      <c r="A54" s="188"/>
      <c r="B54" s="199" t="s">
        <v>37</v>
      </c>
      <c r="C54" s="186">
        <f t="shared" si="13"/>
        <v>0</v>
      </c>
      <c r="D54" s="190"/>
      <c r="E54" s="190"/>
      <c r="F54" s="190"/>
      <c r="G54" s="186">
        <f t="shared" si="14"/>
        <v>0</v>
      </c>
      <c r="H54" s="190"/>
      <c r="I54" s="190"/>
      <c r="J54" s="190"/>
    </row>
    <row r="55" spans="1:10" s="174" customFormat="1" ht="56.25">
      <c r="A55" s="188"/>
      <c r="B55" s="199" t="s">
        <v>38</v>
      </c>
      <c r="C55" s="186">
        <f t="shared" si="13"/>
        <v>0</v>
      </c>
      <c r="D55" s="190"/>
      <c r="E55" s="190"/>
      <c r="F55" s="190"/>
      <c r="G55" s="186">
        <f t="shared" si="14"/>
        <v>0</v>
      </c>
      <c r="H55" s="190"/>
      <c r="I55" s="190"/>
      <c r="J55" s="190"/>
    </row>
    <row r="56" spans="1:10" s="174" customFormat="1" ht="78">
      <c r="A56" s="188"/>
      <c r="B56" s="200" t="s">
        <v>39</v>
      </c>
      <c r="C56" s="194">
        <f t="shared" ref="C56:J56" si="15">SUM(C57:C63)</f>
        <v>0</v>
      </c>
      <c r="D56" s="194">
        <f t="shared" si="15"/>
        <v>0</v>
      </c>
      <c r="E56" s="194">
        <f t="shared" si="15"/>
        <v>0</v>
      </c>
      <c r="F56" s="194">
        <f t="shared" si="15"/>
        <v>0</v>
      </c>
      <c r="G56" s="194">
        <f t="shared" si="15"/>
        <v>0</v>
      </c>
      <c r="H56" s="194">
        <f t="shared" si="15"/>
        <v>0</v>
      </c>
      <c r="I56" s="194">
        <f t="shared" si="15"/>
        <v>0</v>
      </c>
      <c r="J56" s="194">
        <f t="shared" si="15"/>
        <v>0</v>
      </c>
    </row>
    <row r="57" spans="1:10" s="174" customFormat="1" ht="56.25">
      <c r="A57" s="188" t="s">
        <v>40</v>
      </c>
      <c r="B57" s="196" t="s">
        <v>41</v>
      </c>
      <c r="C57" s="186">
        <f t="shared" ref="C57:C63" si="16">D57+E57+F57</f>
        <v>0</v>
      </c>
      <c r="D57" s="190"/>
      <c r="E57" s="190">
        <v>0</v>
      </c>
      <c r="F57" s="190"/>
      <c r="G57" s="186">
        <f t="shared" ref="G57:G63" si="17">H57+I57+J57</f>
        <v>0</v>
      </c>
      <c r="H57" s="190"/>
      <c r="I57" s="190">
        <v>0</v>
      </c>
      <c r="J57" s="190"/>
    </row>
    <row r="58" spans="1:10" s="174" customFormat="1" ht="37.5">
      <c r="A58" s="188"/>
      <c r="B58" s="196" t="s">
        <v>42</v>
      </c>
      <c r="C58" s="186">
        <f t="shared" si="16"/>
        <v>0</v>
      </c>
      <c r="D58" s="190"/>
      <c r="E58" s="190">
        <v>0</v>
      </c>
      <c r="F58" s="190"/>
      <c r="G58" s="186">
        <f t="shared" si="17"/>
        <v>0</v>
      </c>
      <c r="H58" s="190"/>
      <c r="I58" s="190">
        <v>0</v>
      </c>
      <c r="J58" s="190"/>
    </row>
    <row r="59" spans="1:10" s="174" customFormat="1" ht="37.5">
      <c r="A59" s="188"/>
      <c r="B59" s="196" t="s">
        <v>43</v>
      </c>
      <c r="C59" s="186">
        <f t="shared" si="16"/>
        <v>0</v>
      </c>
      <c r="D59" s="190"/>
      <c r="E59" s="190">
        <v>0</v>
      </c>
      <c r="F59" s="190"/>
      <c r="G59" s="186">
        <f t="shared" si="17"/>
        <v>0</v>
      </c>
      <c r="H59" s="190"/>
      <c r="I59" s="190">
        <v>0</v>
      </c>
      <c r="J59" s="190"/>
    </row>
    <row r="60" spans="1:10" s="174" customFormat="1" ht="37.5">
      <c r="A60" s="188"/>
      <c r="B60" s="196" t="s">
        <v>44</v>
      </c>
      <c r="C60" s="186">
        <f t="shared" si="16"/>
        <v>0</v>
      </c>
      <c r="D60" s="190"/>
      <c r="E60" s="190">
        <v>0</v>
      </c>
      <c r="F60" s="190"/>
      <c r="G60" s="186">
        <f t="shared" si="17"/>
        <v>0</v>
      </c>
      <c r="H60" s="190"/>
      <c r="I60" s="190">
        <v>0</v>
      </c>
      <c r="J60" s="190"/>
    </row>
    <row r="61" spans="1:10" s="174" customFormat="1">
      <c r="A61" s="188"/>
      <c r="B61" s="196" t="s">
        <v>45</v>
      </c>
      <c r="C61" s="186">
        <f t="shared" si="16"/>
        <v>0</v>
      </c>
      <c r="D61" s="190"/>
      <c r="E61" s="190">
        <v>0</v>
      </c>
      <c r="F61" s="190"/>
      <c r="G61" s="186">
        <f t="shared" si="17"/>
        <v>0</v>
      </c>
      <c r="H61" s="190"/>
      <c r="I61" s="190">
        <v>0</v>
      </c>
      <c r="J61" s="190"/>
    </row>
    <row r="62" spans="1:10" s="174" customFormat="1" ht="37.5">
      <c r="A62" s="188"/>
      <c r="B62" s="196" t="s">
        <v>46</v>
      </c>
      <c r="C62" s="186">
        <f t="shared" si="16"/>
        <v>0</v>
      </c>
      <c r="D62" s="190"/>
      <c r="E62" s="190">
        <v>0</v>
      </c>
      <c r="F62" s="190"/>
      <c r="G62" s="186">
        <f t="shared" si="17"/>
        <v>0</v>
      </c>
      <c r="H62" s="190"/>
      <c r="I62" s="190">
        <v>0</v>
      </c>
      <c r="J62" s="190"/>
    </row>
    <row r="63" spans="1:10" s="174" customFormat="1" ht="37.5">
      <c r="A63" s="188"/>
      <c r="B63" s="196" t="s">
        <v>47</v>
      </c>
      <c r="C63" s="186">
        <f t="shared" si="16"/>
        <v>0</v>
      </c>
      <c r="D63" s="190"/>
      <c r="E63" s="190">
        <v>0</v>
      </c>
      <c r="F63" s="190"/>
      <c r="G63" s="186">
        <f t="shared" si="17"/>
        <v>0</v>
      </c>
      <c r="H63" s="190"/>
      <c r="I63" s="190">
        <v>0</v>
      </c>
      <c r="J63" s="190"/>
    </row>
    <row r="64" spans="1:10" s="174" customFormat="1">
      <c r="A64" s="201"/>
      <c r="B64" s="202"/>
      <c r="C64" s="203"/>
      <c r="D64" s="203"/>
      <c r="E64" s="203"/>
      <c r="F64" s="203"/>
      <c r="G64" s="203"/>
      <c r="H64" s="203"/>
      <c r="I64" s="203"/>
      <c r="J64" s="203"/>
    </row>
    <row r="65" spans="1:10" s="174" customFormat="1" ht="112.5">
      <c r="A65" s="204" t="s">
        <v>3</v>
      </c>
      <c r="B65" s="178" t="s">
        <v>4</v>
      </c>
      <c r="C65" s="178" t="s">
        <v>110</v>
      </c>
      <c r="D65" s="178" t="s">
        <v>6</v>
      </c>
      <c r="E65" s="178" t="s">
        <v>116</v>
      </c>
      <c r="F65" s="178" t="s">
        <v>117</v>
      </c>
      <c r="G65" s="178" t="s">
        <v>110</v>
      </c>
      <c r="H65" s="178" t="s">
        <v>6</v>
      </c>
      <c r="I65" s="178" t="s">
        <v>116</v>
      </c>
      <c r="J65" s="178" t="s">
        <v>117</v>
      </c>
    </row>
    <row r="66" spans="1:10" s="174" customFormat="1" ht="57">
      <c r="A66" s="180">
        <v>2</v>
      </c>
      <c r="B66" s="181" t="s">
        <v>119</v>
      </c>
      <c r="C66" s="182">
        <f t="shared" ref="C66:J66" si="18">C67+C68+C69+C70+C71+C72+C73+C74+C79+C80+C81+C82+C83+C84+C85+C86</f>
        <v>2110545.7300000004</v>
      </c>
      <c r="D66" s="182">
        <f t="shared" si="18"/>
        <v>1044379.02</v>
      </c>
      <c r="E66" s="182">
        <f t="shared" si="18"/>
        <v>0</v>
      </c>
      <c r="F66" s="182">
        <f t="shared" si="18"/>
        <v>1066166.71</v>
      </c>
      <c r="G66" s="182">
        <f t="shared" si="18"/>
        <v>0</v>
      </c>
      <c r="H66" s="182">
        <f t="shared" si="18"/>
        <v>0</v>
      </c>
      <c r="I66" s="182">
        <f t="shared" si="18"/>
        <v>0</v>
      </c>
      <c r="J66" s="182">
        <f t="shared" si="18"/>
        <v>0</v>
      </c>
    </row>
    <row r="67" spans="1:10" s="205" customFormat="1">
      <c r="A67" s="184"/>
      <c r="B67" s="185" t="s">
        <v>20</v>
      </c>
      <c r="C67" s="186">
        <f t="shared" ref="C67:C73" si="19">D67+E67+F67</f>
        <v>1056616.76</v>
      </c>
      <c r="D67" s="186">
        <f t="shared" ref="D67:F73" si="20">D7+D37</f>
        <v>0</v>
      </c>
      <c r="E67" s="186">
        <f t="shared" si="20"/>
        <v>0</v>
      </c>
      <c r="F67" s="206">
        <f t="shared" si="20"/>
        <v>1056616.76</v>
      </c>
      <c r="G67" s="186">
        <f t="shared" ref="G67:G73" si="21">H67+I67+J67</f>
        <v>0</v>
      </c>
      <c r="H67" s="186">
        <f t="shared" ref="H67:J73" si="22">H7+H37</f>
        <v>0</v>
      </c>
      <c r="I67" s="186">
        <f t="shared" si="22"/>
        <v>0</v>
      </c>
      <c r="J67" s="206">
        <f t="shared" si="22"/>
        <v>0</v>
      </c>
    </row>
    <row r="68" spans="1:10" s="174" customFormat="1" ht="37.5">
      <c r="A68" s="188"/>
      <c r="B68" s="189" t="s">
        <v>21</v>
      </c>
      <c r="C68" s="186">
        <f t="shared" si="19"/>
        <v>0</v>
      </c>
      <c r="D68" s="186">
        <f t="shared" si="20"/>
        <v>0</v>
      </c>
      <c r="E68" s="186">
        <f t="shared" si="20"/>
        <v>0</v>
      </c>
      <c r="F68" s="186">
        <f t="shared" si="20"/>
        <v>0</v>
      </c>
      <c r="G68" s="186">
        <f t="shared" si="21"/>
        <v>0</v>
      </c>
      <c r="H68" s="186">
        <f t="shared" si="22"/>
        <v>0</v>
      </c>
      <c r="I68" s="186">
        <f t="shared" si="22"/>
        <v>0</v>
      </c>
      <c r="J68" s="186">
        <f t="shared" si="22"/>
        <v>0</v>
      </c>
    </row>
    <row r="69" spans="1:10" s="174" customFormat="1" ht="37.5">
      <c r="A69" s="188"/>
      <c r="B69" s="191" t="s">
        <v>22</v>
      </c>
      <c r="C69" s="186">
        <f t="shared" si="19"/>
        <v>0</v>
      </c>
      <c r="D69" s="186">
        <f t="shared" si="20"/>
        <v>0</v>
      </c>
      <c r="E69" s="186">
        <f t="shared" si="20"/>
        <v>0</v>
      </c>
      <c r="F69" s="186">
        <f t="shared" si="20"/>
        <v>0</v>
      </c>
      <c r="G69" s="186">
        <f t="shared" si="21"/>
        <v>0</v>
      </c>
      <c r="H69" s="186">
        <f t="shared" si="22"/>
        <v>0</v>
      </c>
      <c r="I69" s="186">
        <f t="shared" si="22"/>
        <v>0</v>
      </c>
      <c r="J69" s="186">
        <f t="shared" si="22"/>
        <v>0</v>
      </c>
    </row>
    <row r="70" spans="1:10" s="174" customFormat="1" ht="37.5">
      <c r="A70" s="188"/>
      <c r="B70" s="191" t="s">
        <v>23</v>
      </c>
      <c r="C70" s="186">
        <f t="shared" si="19"/>
        <v>415735.57</v>
      </c>
      <c r="D70" s="206">
        <f t="shared" si="20"/>
        <v>415735.57</v>
      </c>
      <c r="E70" s="186">
        <f t="shared" si="20"/>
        <v>0</v>
      </c>
      <c r="F70" s="186">
        <f t="shared" si="20"/>
        <v>0</v>
      </c>
      <c r="G70" s="186">
        <f t="shared" si="21"/>
        <v>0</v>
      </c>
      <c r="H70" s="206">
        <f t="shared" si="22"/>
        <v>0</v>
      </c>
      <c r="I70" s="186">
        <f t="shared" si="22"/>
        <v>0</v>
      </c>
      <c r="J70" s="186">
        <f t="shared" si="22"/>
        <v>0</v>
      </c>
    </row>
    <row r="71" spans="1:10" s="174" customFormat="1" ht="37.5">
      <c r="A71" s="188"/>
      <c r="B71" s="189" t="s">
        <v>24</v>
      </c>
      <c r="C71" s="186">
        <f t="shared" si="19"/>
        <v>0</v>
      </c>
      <c r="D71" s="206">
        <f t="shared" si="20"/>
        <v>0</v>
      </c>
      <c r="E71" s="186">
        <f t="shared" si="20"/>
        <v>0</v>
      </c>
      <c r="F71" s="186">
        <f t="shared" si="20"/>
        <v>0</v>
      </c>
      <c r="G71" s="186">
        <f t="shared" si="21"/>
        <v>0</v>
      </c>
      <c r="H71" s="206">
        <f t="shared" si="22"/>
        <v>0</v>
      </c>
      <c r="I71" s="186">
        <f t="shared" si="22"/>
        <v>0</v>
      </c>
      <c r="J71" s="186">
        <f t="shared" si="22"/>
        <v>0</v>
      </c>
    </row>
    <row r="72" spans="1:10" s="174" customFormat="1">
      <c r="A72" s="188"/>
      <c r="B72" s="192" t="s">
        <v>25</v>
      </c>
      <c r="C72" s="186">
        <f t="shared" si="19"/>
        <v>0</v>
      </c>
      <c r="D72" s="206">
        <f t="shared" si="20"/>
        <v>0</v>
      </c>
      <c r="E72" s="186">
        <f t="shared" si="20"/>
        <v>0</v>
      </c>
      <c r="F72" s="186">
        <f t="shared" si="20"/>
        <v>0</v>
      </c>
      <c r="G72" s="186">
        <f t="shared" si="21"/>
        <v>0</v>
      </c>
      <c r="H72" s="206">
        <f t="shared" si="22"/>
        <v>0</v>
      </c>
      <c r="I72" s="186">
        <f t="shared" si="22"/>
        <v>0</v>
      </c>
      <c r="J72" s="186">
        <f t="shared" si="22"/>
        <v>0</v>
      </c>
    </row>
    <row r="73" spans="1:10" s="174" customFormat="1" ht="37.5">
      <c r="A73" s="188"/>
      <c r="B73" s="191" t="s">
        <v>26</v>
      </c>
      <c r="C73" s="186">
        <f t="shared" si="19"/>
        <v>0</v>
      </c>
      <c r="D73" s="206">
        <f t="shared" si="20"/>
        <v>0</v>
      </c>
      <c r="E73" s="186">
        <f t="shared" si="20"/>
        <v>0</v>
      </c>
      <c r="F73" s="186">
        <f t="shared" si="20"/>
        <v>0</v>
      </c>
      <c r="G73" s="186">
        <f t="shared" si="21"/>
        <v>0</v>
      </c>
      <c r="H73" s="206">
        <f t="shared" si="22"/>
        <v>0</v>
      </c>
      <c r="I73" s="186">
        <f t="shared" si="22"/>
        <v>0</v>
      </c>
      <c r="J73" s="186">
        <f t="shared" si="22"/>
        <v>0</v>
      </c>
    </row>
    <row r="74" spans="1:10" s="174" customFormat="1" ht="39">
      <c r="A74" s="188"/>
      <c r="B74" s="193" t="s">
        <v>27</v>
      </c>
      <c r="C74" s="194">
        <f t="shared" ref="C74:J74" si="23">SUM(C75:C78)</f>
        <v>566887.95000000007</v>
      </c>
      <c r="D74" s="207">
        <f t="shared" si="23"/>
        <v>566887.95000000007</v>
      </c>
      <c r="E74" s="194">
        <f t="shared" si="23"/>
        <v>0</v>
      </c>
      <c r="F74" s="194">
        <f t="shared" si="23"/>
        <v>0</v>
      </c>
      <c r="G74" s="194">
        <f t="shared" si="23"/>
        <v>0</v>
      </c>
      <c r="H74" s="207">
        <f t="shared" si="23"/>
        <v>0</v>
      </c>
      <c r="I74" s="194">
        <f t="shared" si="23"/>
        <v>0</v>
      </c>
      <c r="J74" s="194">
        <f t="shared" si="23"/>
        <v>0</v>
      </c>
    </row>
    <row r="75" spans="1:10" s="174" customFormat="1">
      <c r="A75" s="188"/>
      <c r="B75" s="195" t="s">
        <v>28</v>
      </c>
      <c r="C75" s="186">
        <f t="shared" ref="C75:C85" si="24">D75+E75+F75</f>
        <v>511969.06</v>
      </c>
      <c r="D75" s="206">
        <f t="shared" ref="D75:F85" si="25">D15+D45</f>
        <v>511969.06</v>
      </c>
      <c r="E75" s="186">
        <f t="shared" si="25"/>
        <v>0</v>
      </c>
      <c r="F75" s="186">
        <f t="shared" si="25"/>
        <v>0</v>
      </c>
      <c r="G75" s="186">
        <f t="shared" ref="G75:G85" si="26">H75+I75+J75</f>
        <v>0</v>
      </c>
      <c r="H75" s="206">
        <f t="shared" ref="H75:J85" si="27">H15+H45</f>
        <v>0</v>
      </c>
      <c r="I75" s="186">
        <f t="shared" si="27"/>
        <v>0</v>
      </c>
      <c r="J75" s="186">
        <f t="shared" si="27"/>
        <v>0</v>
      </c>
    </row>
    <row r="76" spans="1:10" s="174" customFormat="1">
      <c r="A76" s="188"/>
      <c r="B76" s="195" t="s">
        <v>29</v>
      </c>
      <c r="C76" s="186">
        <f t="shared" si="24"/>
        <v>17002.7</v>
      </c>
      <c r="D76" s="206">
        <f t="shared" si="25"/>
        <v>17002.7</v>
      </c>
      <c r="E76" s="186">
        <f t="shared" si="25"/>
        <v>0</v>
      </c>
      <c r="F76" s="186">
        <f t="shared" si="25"/>
        <v>0</v>
      </c>
      <c r="G76" s="186">
        <f t="shared" si="26"/>
        <v>0</v>
      </c>
      <c r="H76" s="206">
        <f t="shared" si="27"/>
        <v>0</v>
      </c>
      <c r="I76" s="186">
        <f t="shared" si="27"/>
        <v>0</v>
      </c>
      <c r="J76" s="186">
        <f t="shared" si="27"/>
        <v>0</v>
      </c>
    </row>
    <row r="77" spans="1:10" s="174" customFormat="1">
      <c r="A77" s="188"/>
      <c r="B77" s="195" t="s">
        <v>30</v>
      </c>
      <c r="C77" s="186">
        <f t="shared" si="24"/>
        <v>20821.68</v>
      </c>
      <c r="D77" s="206">
        <f t="shared" si="25"/>
        <v>20821.68</v>
      </c>
      <c r="E77" s="186">
        <f t="shared" si="25"/>
        <v>0</v>
      </c>
      <c r="F77" s="186">
        <f t="shared" si="25"/>
        <v>0</v>
      </c>
      <c r="G77" s="186">
        <f t="shared" si="26"/>
        <v>0</v>
      </c>
      <c r="H77" s="206">
        <f t="shared" si="27"/>
        <v>0</v>
      </c>
      <c r="I77" s="186">
        <f t="shared" si="27"/>
        <v>0</v>
      </c>
      <c r="J77" s="186">
        <f t="shared" si="27"/>
        <v>0</v>
      </c>
    </row>
    <row r="78" spans="1:10" s="174" customFormat="1">
      <c r="A78" s="188"/>
      <c r="B78" s="195" t="s">
        <v>31</v>
      </c>
      <c r="C78" s="186">
        <f t="shared" si="24"/>
        <v>17094.509999999998</v>
      </c>
      <c r="D78" s="206">
        <f t="shared" si="25"/>
        <v>17094.509999999998</v>
      </c>
      <c r="E78" s="186">
        <f t="shared" si="25"/>
        <v>0</v>
      </c>
      <c r="F78" s="186">
        <f t="shared" si="25"/>
        <v>0</v>
      </c>
      <c r="G78" s="186">
        <f t="shared" si="26"/>
        <v>0</v>
      </c>
      <c r="H78" s="206">
        <f t="shared" si="27"/>
        <v>0</v>
      </c>
      <c r="I78" s="186">
        <f t="shared" si="27"/>
        <v>0</v>
      </c>
      <c r="J78" s="186">
        <f t="shared" si="27"/>
        <v>0</v>
      </c>
    </row>
    <row r="79" spans="1:10" s="174" customFormat="1" ht="75">
      <c r="A79" s="188"/>
      <c r="B79" s="196" t="s">
        <v>32</v>
      </c>
      <c r="C79" s="186">
        <f t="shared" si="24"/>
        <v>0</v>
      </c>
      <c r="D79" s="206">
        <f t="shared" si="25"/>
        <v>0</v>
      </c>
      <c r="E79" s="186">
        <f t="shared" si="25"/>
        <v>0</v>
      </c>
      <c r="F79" s="186">
        <f t="shared" si="25"/>
        <v>0</v>
      </c>
      <c r="G79" s="186">
        <f t="shared" si="26"/>
        <v>0</v>
      </c>
      <c r="H79" s="206">
        <f t="shared" si="27"/>
        <v>0</v>
      </c>
      <c r="I79" s="186">
        <f t="shared" si="27"/>
        <v>0</v>
      </c>
      <c r="J79" s="186">
        <f t="shared" si="27"/>
        <v>0</v>
      </c>
    </row>
    <row r="80" spans="1:10" s="174" customFormat="1" ht="56.25">
      <c r="A80" s="188"/>
      <c r="B80" s="196" t="s">
        <v>33</v>
      </c>
      <c r="C80" s="186">
        <f t="shared" si="24"/>
        <v>61755.5</v>
      </c>
      <c r="D80" s="206">
        <f t="shared" si="25"/>
        <v>61755.5</v>
      </c>
      <c r="E80" s="186">
        <f t="shared" si="25"/>
        <v>0</v>
      </c>
      <c r="F80" s="186">
        <f t="shared" si="25"/>
        <v>0</v>
      </c>
      <c r="G80" s="186">
        <f t="shared" si="26"/>
        <v>0</v>
      </c>
      <c r="H80" s="206">
        <f t="shared" si="27"/>
        <v>0</v>
      </c>
      <c r="I80" s="186">
        <f t="shared" si="27"/>
        <v>0</v>
      </c>
      <c r="J80" s="186">
        <f t="shared" si="27"/>
        <v>0</v>
      </c>
    </row>
    <row r="81" spans="1:10" s="174" customFormat="1" ht="56.25">
      <c r="A81" s="188"/>
      <c r="B81" s="197" t="s">
        <v>34</v>
      </c>
      <c r="C81" s="186">
        <f t="shared" si="24"/>
        <v>0</v>
      </c>
      <c r="D81" s="206">
        <f t="shared" si="25"/>
        <v>0</v>
      </c>
      <c r="E81" s="186">
        <f t="shared" si="25"/>
        <v>0</v>
      </c>
      <c r="F81" s="186">
        <f t="shared" si="25"/>
        <v>0</v>
      </c>
      <c r="G81" s="186">
        <f t="shared" si="26"/>
        <v>0</v>
      </c>
      <c r="H81" s="206">
        <f t="shared" si="27"/>
        <v>0</v>
      </c>
      <c r="I81" s="186">
        <f t="shared" si="27"/>
        <v>0</v>
      </c>
      <c r="J81" s="186">
        <f t="shared" si="27"/>
        <v>0</v>
      </c>
    </row>
    <row r="82" spans="1:10" s="174" customFormat="1">
      <c r="A82" s="188"/>
      <c r="B82" s="197" t="s">
        <v>35</v>
      </c>
      <c r="C82" s="186">
        <f t="shared" si="24"/>
        <v>0</v>
      </c>
      <c r="D82" s="186">
        <f t="shared" si="25"/>
        <v>0</v>
      </c>
      <c r="E82" s="186">
        <f t="shared" si="25"/>
        <v>0</v>
      </c>
      <c r="F82" s="186">
        <f t="shared" si="25"/>
        <v>0</v>
      </c>
      <c r="G82" s="186">
        <f t="shared" si="26"/>
        <v>0</v>
      </c>
      <c r="H82" s="186">
        <f t="shared" si="27"/>
        <v>0</v>
      </c>
      <c r="I82" s="186">
        <f t="shared" si="27"/>
        <v>0</v>
      </c>
      <c r="J82" s="186">
        <f t="shared" si="27"/>
        <v>0</v>
      </c>
    </row>
    <row r="83" spans="1:10" s="174" customFormat="1" ht="56.25">
      <c r="A83" s="188"/>
      <c r="B83" s="198" t="s">
        <v>36</v>
      </c>
      <c r="C83" s="186">
        <f t="shared" si="24"/>
        <v>0</v>
      </c>
      <c r="D83" s="186">
        <f t="shared" si="25"/>
        <v>0</v>
      </c>
      <c r="E83" s="186">
        <f t="shared" si="25"/>
        <v>0</v>
      </c>
      <c r="F83" s="186">
        <f t="shared" si="25"/>
        <v>0</v>
      </c>
      <c r="G83" s="186">
        <f t="shared" si="26"/>
        <v>0</v>
      </c>
      <c r="H83" s="186">
        <f t="shared" si="27"/>
        <v>0</v>
      </c>
      <c r="I83" s="186">
        <f t="shared" si="27"/>
        <v>0</v>
      </c>
      <c r="J83" s="186">
        <f t="shared" si="27"/>
        <v>0</v>
      </c>
    </row>
    <row r="84" spans="1:10" s="174" customFormat="1" ht="37.5">
      <c r="A84" s="188"/>
      <c r="B84" s="199" t="s">
        <v>37</v>
      </c>
      <c r="C84" s="186">
        <f t="shared" si="24"/>
        <v>0</v>
      </c>
      <c r="D84" s="186">
        <f t="shared" si="25"/>
        <v>0</v>
      </c>
      <c r="E84" s="186">
        <f t="shared" si="25"/>
        <v>0</v>
      </c>
      <c r="F84" s="186">
        <f t="shared" si="25"/>
        <v>0</v>
      </c>
      <c r="G84" s="186">
        <f t="shared" si="26"/>
        <v>0</v>
      </c>
      <c r="H84" s="186">
        <f t="shared" si="27"/>
        <v>0</v>
      </c>
      <c r="I84" s="186">
        <f t="shared" si="27"/>
        <v>0</v>
      </c>
      <c r="J84" s="186">
        <f t="shared" si="27"/>
        <v>0</v>
      </c>
    </row>
    <row r="85" spans="1:10" s="174" customFormat="1" ht="56.25">
      <c r="A85" s="188"/>
      <c r="B85" s="199" t="s">
        <v>38</v>
      </c>
      <c r="C85" s="186">
        <f t="shared" si="24"/>
        <v>0</v>
      </c>
      <c r="D85" s="206">
        <f t="shared" si="25"/>
        <v>0</v>
      </c>
      <c r="E85" s="186">
        <f t="shared" si="25"/>
        <v>0</v>
      </c>
      <c r="F85" s="186">
        <f t="shared" si="25"/>
        <v>0</v>
      </c>
      <c r="G85" s="186">
        <f t="shared" si="26"/>
        <v>0</v>
      </c>
      <c r="H85" s="206">
        <f t="shared" si="27"/>
        <v>0</v>
      </c>
      <c r="I85" s="186">
        <f t="shared" si="27"/>
        <v>0</v>
      </c>
      <c r="J85" s="186">
        <f t="shared" si="27"/>
        <v>0</v>
      </c>
    </row>
    <row r="86" spans="1:10" s="174" customFormat="1" ht="78">
      <c r="A86" s="188"/>
      <c r="B86" s="200" t="s">
        <v>39</v>
      </c>
      <c r="C86" s="194">
        <f t="shared" ref="C86:J86" si="28">SUM(C87:C93)</f>
        <v>9549.9500000000007</v>
      </c>
      <c r="D86" s="194">
        <f t="shared" si="28"/>
        <v>0</v>
      </c>
      <c r="E86" s="194">
        <f t="shared" si="28"/>
        <v>0</v>
      </c>
      <c r="F86" s="207">
        <f t="shared" si="28"/>
        <v>9549.9500000000007</v>
      </c>
      <c r="G86" s="194">
        <f t="shared" si="28"/>
        <v>0</v>
      </c>
      <c r="H86" s="194">
        <f t="shared" si="28"/>
        <v>0</v>
      </c>
      <c r="I86" s="194">
        <f t="shared" si="28"/>
        <v>0</v>
      </c>
      <c r="J86" s="207">
        <f t="shared" si="28"/>
        <v>0</v>
      </c>
    </row>
    <row r="87" spans="1:10" s="174" customFormat="1" ht="56.25">
      <c r="A87" s="188" t="s">
        <v>40</v>
      </c>
      <c r="B87" s="196" t="s">
        <v>41</v>
      </c>
      <c r="C87" s="186">
        <f t="shared" ref="C87:C93" si="29">D87+E87+F87</f>
        <v>0</v>
      </c>
      <c r="D87" s="186">
        <f t="shared" ref="D87:F93" si="30">D27+D57</f>
        <v>0</v>
      </c>
      <c r="E87" s="186">
        <f t="shared" si="30"/>
        <v>0</v>
      </c>
      <c r="F87" s="186">
        <f t="shared" si="30"/>
        <v>0</v>
      </c>
      <c r="G87" s="186">
        <f t="shared" ref="G87:G93" si="31">H87+I87+J87</f>
        <v>0</v>
      </c>
      <c r="H87" s="186">
        <f t="shared" ref="H87:J93" si="32">H27+H57</f>
        <v>0</v>
      </c>
      <c r="I87" s="186">
        <f t="shared" si="32"/>
        <v>0</v>
      </c>
      <c r="J87" s="186">
        <f t="shared" si="32"/>
        <v>0</v>
      </c>
    </row>
    <row r="88" spans="1:10" s="174" customFormat="1" ht="37.5">
      <c r="A88" s="188"/>
      <c r="B88" s="196" t="s">
        <v>42</v>
      </c>
      <c r="C88" s="186">
        <f t="shared" si="29"/>
        <v>0</v>
      </c>
      <c r="D88" s="186">
        <f t="shared" si="30"/>
        <v>0</v>
      </c>
      <c r="E88" s="186">
        <f t="shared" si="30"/>
        <v>0</v>
      </c>
      <c r="F88" s="186">
        <f t="shared" si="30"/>
        <v>0</v>
      </c>
      <c r="G88" s="186">
        <f t="shared" si="31"/>
        <v>0</v>
      </c>
      <c r="H88" s="186">
        <f t="shared" si="32"/>
        <v>0</v>
      </c>
      <c r="I88" s="186">
        <f t="shared" si="32"/>
        <v>0</v>
      </c>
      <c r="J88" s="186">
        <f t="shared" si="32"/>
        <v>0</v>
      </c>
    </row>
    <row r="89" spans="1:10" s="174" customFormat="1" ht="37.5">
      <c r="A89" s="188"/>
      <c r="B89" s="196" t="s">
        <v>43</v>
      </c>
      <c r="C89" s="186">
        <f t="shared" si="29"/>
        <v>0</v>
      </c>
      <c r="D89" s="186">
        <f t="shared" si="30"/>
        <v>0</v>
      </c>
      <c r="E89" s="186">
        <f t="shared" si="30"/>
        <v>0</v>
      </c>
      <c r="F89" s="186">
        <f t="shared" si="30"/>
        <v>0</v>
      </c>
      <c r="G89" s="186">
        <f t="shared" si="31"/>
        <v>0</v>
      </c>
      <c r="H89" s="186">
        <f t="shared" si="32"/>
        <v>0</v>
      </c>
      <c r="I89" s="186">
        <f t="shared" si="32"/>
        <v>0</v>
      </c>
      <c r="J89" s="186">
        <f t="shared" si="32"/>
        <v>0</v>
      </c>
    </row>
    <row r="90" spans="1:10" s="174" customFormat="1" ht="37.5">
      <c r="A90" s="188"/>
      <c r="B90" s="196" t="s">
        <v>44</v>
      </c>
      <c r="C90" s="186">
        <f t="shared" si="29"/>
        <v>0</v>
      </c>
      <c r="D90" s="186">
        <f t="shared" si="30"/>
        <v>0</v>
      </c>
      <c r="E90" s="186">
        <f t="shared" si="30"/>
        <v>0</v>
      </c>
      <c r="F90" s="186">
        <f t="shared" si="30"/>
        <v>0</v>
      </c>
      <c r="G90" s="186">
        <f t="shared" si="31"/>
        <v>0</v>
      </c>
      <c r="H90" s="186">
        <f t="shared" si="32"/>
        <v>0</v>
      </c>
      <c r="I90" s="186">
        <f t="shared" si="32"/>
        <v>0</v>
      </c>
      <c r="J90" s="186">
        <f t="shared" si="32"/>
        <v>0</v>
      </c>
    </row>
    <row r="91" spans="1:10" s="174" customFormat="1">
      <c r="A91" s="188"/>
      <c r="B91" s="196" t="s">
        <v>45</v>
      </c>
      <c r="C91" s="186">
        <f t="shared" si="29"/>
        <v>0</v>
      </c>
      <c r="D91" s="186">
        <f t="shared" si="30"/>
        <v>0</v>
      </c>
      <c r="E91" s="186">
        <f t="shared" si="30"/>
        <v>0</v>
      </c>
      <c r="F91" s="186">
        <f t="shared" si="30"/>
        <v>0</v>
      </c>
      <c r="G91" s="186">
        <f t="shared" si="31"/>
        <v>0</v>
      </c>
      <c r="H91" s="186">
        <f t="shared" si="32"/>
        <v>0</v>
      </c>
      <c r="I91" s="186">
        <f t="shared" si="32"/>
        <v>0</v>
      </c>
      <c r="J91" s="186">
        <f t="shared" si="32"/>
        <v>0</v>
      </c>
    </row>
    <row r="92" spans="1:10" s="174" customFormat="1" ht="37.5">
      <c r="A92" s="188"/>
      <c r="B92" s="196" t="s">
        <v>46</v>
      </c>
      <c r="C92" s="186">
        <f t="shared" si="29"/>
        <v>0</v>
      </c>
      <c r="D92" s="186">
        <f t="shared" si="30"/>
        <v>0</v>
      </c>
      <c r="E92" s="186">
        <f t="shared" si="30"/>
        <v>0</v>
      </c>
      <c r="F92" s="186">
        <f t="shared" si="30"/>
        <v>0</v>
      </c>
      <c r="G92" s="186">
        <f t="shared" si="31"/>
        <v>0</v>
      </c>
      <c r="H92" s="186">
        <f t="shared" si="32"/>
        <v>0</v>
      </c>
      <c r="I92" s="186">
        <f t="shared" si="32"/>
        <v>0</v>
      </c>
      <c r="J92" s="186">
        <f t="shared" si="32"/>
        <v>0</v>
      </c>
    </row>
    <row r="93" spans="1:10" s="174" customFormat="1" ht="37.5">
      <c r="A93" s="188"/>
      <c r="B93" s="196" t="s">
        <v>47</v>
      </c>
      <c r="C93" s="186">
        <f t="shared" si="29"/>
        <v>9549.9500000000007</v>
      </c>
      <c r="D93" s="186">
        <f t="shared" si="30"/>
        <v>0</v>
      </c>
      <c r="E93" s="186">
        <f t="shared" si="30"/>
        <v>0</v>
      </c>
      <c r="F93" s="206">
        <f t="shared" si="30"/>
        <v>9549.9500000000007</v>
      </c>
      <c r="G93" s="186">
        <f t="shared" si="31"/>
        <v>0</v>
      </c>
      <c r="H93" s="186">
        <f t="shared" si="32"/>
        <v>0</v>
      </c>
      <c r="I93" s="186">
        <f t="shared" si="32"/>
        <v>0</v>
      </c>
      <c r="J93" s="206">
        <f t="shared" si="32"/>
        <v>0</v>
      </c>
    </row>
  </sheetData>
  <mergeCells count="6">
    <mergeCell ref="H4:J4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бюджетные</vt:lpstr>
      <vt:lpstr>автономные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2016-06-01T04:15:47Z</dcterms:modified>
</cp:coreProperties>
</file>